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 codeName="{37E998C4-C9E5-D4B9-71C8-EB1FF731991C}"/>
  <workbookPr codeName="ThisWorkbook" autoCompressPictures="0"/>
  <bookViews>
    <workbookView xWindow="0" yWindow="0" windowWidth="25600" windowHeight="14020"/>
  </bookViews>
  <sheets>
    <sheet name="Storage Tank" sheetId="1" r:id="rId1"/>
    <sheet name="Properties" sheetId="2" r:id="rId2"/>
    <sheet name="Hoja3" sheetId="3" r:id="rId3"/>
  </sheets>
  <calcPr calcId="140001" calcMode="manual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231" i="1"/>
  <c r="B135" i="1"/>
  <c r="B133" i="1"/>
  <c r="B210" i="1"/>
  <c r="E210" i="1"/>
  <c r="B191" i="1"/>
  <c r="B193" i="1"/>
  <c r="B138" i="1"/>
  <c r="B158" i="1"/>
  <c r="B159" i="1"/>
  <c r="B167" i="1"/>
  <c r="B137" i="1"/>
  <c r="N4" i="2"/>
  <c r="B121" i="1"/>
  <c r="B119" i="1"/>
  <c r="B118" i="1"/>
  <c r="B116" i="1"/>
  <c r="B106" i="1"/>
  <c r="B107" i="1"/>
  <c r="B109" i="1"/>
  <c r="B27" i="1"/>
  <c r="B28" i="1"/>
  <c r="B29" i="1"/>
  <c r="J5" i="2"/>
  <c r="B25" i="1"/>
  <c r="B26" i="1"/>
  <c r="B30" i="1"/>
  <c r="B31" i="1"/>
  <c r="B57" i="1"/>
  <c r="B35" i="1"/>
  <c r="B37" i="1"/>
  <c r="B41" i="1"/>
  <c r="B42" i="1"/>
  <c r="B46" i="1"/>
  <c r="B47" i="1"/>
  <c r="B51" i="1"/>
  <c r="B52" i="1"/>
  <c r="F9" i="2"/>
  <c r="F8" i="2"/>
  <c r="B9" i="1"/>
  <c r="B92" i="1"/>
  <c r="B7" i="1"/>
  <c r="F5" i="2"/>
  <c r="B6" i="2"/>
  <c r="B5" i="2"/>
  <c r="F4" i="2"/>
  <c r="B13" i="1"/>
  <c r="B99" i="1"/>
  <c r="B38" i="1"/>
  <c r="B39" i="1"/>
  <c r="B40" i="1"/>
  <c r="B77" i="1"/>
  <c r="B32" i="1"/>
  <c r="B257" i="1"/>
  <c r="B273" i="1"/>
  <c r="B289" i="1"/>
  <c r="B43" i="1"/>
  <c r="B44" i="1"/>
  <c r="B45" i="1"/>
  <c r="B78" i="1"/>
  <c r="B53" i="1"/>
  <c r="B54" i="1"/>
  <c r="B55" i="1"/>
  <c r="B80" i="1"/>
  <c r="B144" i="1"/>
  <c r="B168" i="1"/>
  <c r="B169" i="1"/>
  <c r="B139" i="1"/>
  <c r="B157" i="1"/>
  <c r="B162" i="1"/>
  <c r="B170" i="1"/>
  <c r="B126" i="1"/>
  <c r="B180" i="1"/>
  <c r="B161" i="1"/>
  <c r="B163" i="1"/>
  <c r="B165" i="1"/>
  <c r="B145" i="1"/>
  <c r="B241" i="1"/>
  <c r="B270" i="1"/>
  <c r="B286" i="1"/>
  <c r="B302" i="1"/>
  <c r="B268" i="1"/>
  <c r="B284" i="1"/>
  <c r="B300" i="1"/>
  <c r="B266" i="1"/>
  <c r="B282" i="1"/>
  <c r="B298" i="1"/>
  <c r="B264" i="1"/>
  <c r="B280" i="1"/>
  <c r="B296" i="1"/>
  <c r="B262" i="1"/>
  <c r="B278" i="1"/>
  <c r="B294" i="1"/>
  <c r="B260" i="1"/>
  <c r="B276" i="1"/>
  <c r="B292" i="1"/>
  <c r="B258" i="1"/>
  <c r="B274" i="1"/>
  <c r="B290" i="1"/>
  <c r="B256" i="1"/>
  <c r="B272" i="1"/>
  <c r="B288" i="1"/>
  <c r="B255" i="1"/>
  <c r="B321" i="1"/>
  <c r="B269" i="1"/>
  <c r="B335" i="1"/>
  <c r="B267" i="1"/>
  <c r="B333" i="1"/>
  <c r="B265" i="1"/>
  <c r="B331" i="1"/>
  <c r="B263" i="1"/>
  <c r="B329" i="1"/>
  <c r="B261" i="1"/>
  <c r="B277" i="1"/>
  <c r="B293" i="1"/>
  <c r="B259" i="1"/>
  <c r="B275" i="1"/>
  <c r="B291" i="1"/>
  <c r="B91" i="1"/>
  <c r="B93" i="1"/>
  <c r="B252" i="1"/>
  <c r="B305" i="1"/>
  <c r="B48" i="1"/>
  <c r="B49" i="1"/>
  <c r="B50" i="1"/>
  <c r="B79" i="1"/>
  <c r="B8" i="1"/>
  <c r="C38" i="1"/>
  <c r="B322" i="1"/>
  <c r="B323" i="1"/>
  <c r="B11" i="1"/>
  <c r="B10" i="1"/>
  <c r="B190" i="1"/>
  <c r="B192" i="1"/>
  <c r="B334" i="1"/>
  <c r="C43" i="1"/>
  <c r="B336" i="1"/>
  <c r="B330" i="1"/>
  <c r="B244" i="1"/>
  <c r="B308" i="1"/>
  <c r="B327" i="1"/>
  <c r="B326" i="1"/>
  <c r="B245" i="1"/>
  <c r="B240" i="1"/>
  <c r="B248" i="1"/>
  <c r="B312" i="1"/>
  <c r="B320" i="1"/>
  <c r="B325" i="1"/>
  <c r="B324" i="1"/>
  <c r="B328" i="1"/>
  <c r="B332" i="1"/>
  <c r="B242" i="1"/>
  <c r="B246" i="1"/>
  <c r="B250" i="1"/>
  <c r="B314" i="1"/>
  <c r="B254" i="1"/>
  <c r="B318" i="1"/>
  <c r="B194" i="1"/>
  <c r="B197" i="1"/>
  <c r="B164" i="1"/>
  <c r="B146" i="1"/>
  <c r="B94" i="1"/>
  <c r="B136" i="1"/>
  <c r="B166" i="1"/>
  <c r="B306" i="1"/>
  <c r="B310" i="1"/>
  <c r="B309" i="1"/>
  <c r="B304" i="1"/>
  <c r="B316" i="1"/>
  <c r="B249" i="1"/>
  <c r="B281" i="1"/>
  <c r="B297" i="1"/>
  <c r="B253" i="1"/>
  <c r="B285" i="1"/>
  <c r="B301" i="1"/>
  <c r="B243" i="1"/>
  <c r="B307" i="1"/>
  <c r="B247" i="1"/>
  <c r="B279" i="1"/>
  <c r="B295" i="1"/>
  <c r="B251" i="1"/>
  <c r="B283" i="1"/>
  <c r="B299" i="1"/>
  <c r="B239" i="1"/>
  <c r="B122" i="1"/>
  <c r="B123" i="1"/>
  <c r="B271" i="1"/>
  <c r="C48" i="1"/>
  <c r="B12" i="1"/>
  <c r="B33" i="1"/>
  <c r="B216" i="1"/>
  <c r="B214" i="1"/>
  <c r="B215" i="1"/>
  <c r="B201" i="1"/>
  <c r="B202" i="1"/>
  <c r="B171" i="1"/>
  <c r="B172" i="1"/>
  <c r="B173" i="1"/>
  <c r="B211" i="1"/>
  <c r="E211" i="1"/>
  <c r="E212" i="1"/>
  <c r="E215" i="1"/>
  <c r="B175" i="1"/>
  <c r="B174" i="1"/>
  <c r="B287" i="1"/>
  <c r="B110" i="1"/>
  <c r="B111" i="1"/>
  <c r="B112" i="1"/>
  <c r="B124" i="1"/>
  <c r="B125" i="1"/>
  <c r="B317" i="1"/>
  <c r="B313" i="1"/>
  <c r="B315" i="1"/>
  <c r="B311" i="1"/>
  <c r="B58" i="1"/>
  <c r="B59" i="1"/>
  <c r="B62" i="1"/>
  <c r="B67" i="1"/>
  <c r="B176" i="1"/>
  <c r="B181" i="1"/>
  <c r="B127" i="1"/>
  <c r="B303" i="1"/>
  <c r="B319" i="1"/>
  <c r="B63" i="1"/>
  <c r="B68" i="1"/>
  <c r="B72" i="1"/>
  <c r="B76" i="1"/>
  <c r="B84" i="1"/>
  <c r="B60" i="1"/>
  <c r="B65" i="1"/>
  <c r="B69" i="1"/>
  <c r="B73" i="1"/>
  <c r="B81" i="1"/>
  <c r="B61" i="1"/>
  <c r="B66" i="1"/>
  <c r="B70" i="1"/>
  <c r="B74" i="1"/>
  <c r="B87" i="1"/>
  <c r="B96" i="1"/>
  <c r="B177" i="1"/>
  <c r="B183" i="1"/>
  <c r="B186" i="1"/>
  <c r="B187" i="1"/>
  <c r="B188" i="1"/>
  <c r="B71" i="1"/>
  <c r="B75" i="1"/>
  <c r="B88" i="1"/>
  <c r="B97" i="1"/>
  <c r="B89" i="1"/>
  <c r="B98" i="1"/>
  <c r="B103" i="1"/>
  <c r="B233" i="1"/>
  <c r="B232" i="1"/>
  <c r="B234" i="1"/>
  <c r="B235" i="1"/>
  <c r="B82" i="1"/>
  <c r="B86" i="1"/>
  <c r="B95" i="1"/>
  <c r="B83" i="1"/>
  <c r="B100" i="1"/>
</calcChain>
</file>

<file path=xl/sharedStrings.xml><?xml version="1.0" encoding="utf-8"?>
<sst xmlns="http://schemas.openxmlformats.org/spreadsheetml/2006/main" count="598" uniqueCount="392">
  <si>
    <t>Thermal Storage Tank Size Computation</t>
  </si>
  <si>
    <t xml:space="preserve">3 tons of energy </t>
  </si>
  <si>
    <t>Require Usage Time</t>
  </si>
  <si>
    <t>hr</t>
  </si>
  <si>
    <t>Required stored energy</t>
  </si>
  <si>
    <t>Storage Tank Water Initial Temperature</t>
  </si>
  <si>
    <t>Specific Heat of Water</t>
  </si>
  <si>
    <t>Cp of Ethyene Glycol</t>
  </si>
  <si>
    <t>Latent heat of Fusion of water</t>
  </si>
  <si>
    <t>Required Mass of Ice</t>
  </si>
  <si>
    <t>Density of ice</t>
  </si>
  <si>
    <t>Volume of ice</t>
  </si>
  <si>
    <t>Cp of water ranging from 0 to 26.66 C</t>
  </si>
  <si>
    <t>KJ/KgK</t>
  </si>
  <si>
    <t>KJ/Kg</t>
  </si>
  <si>
    <t>Kg/m^3</t>
  </si>
  <si>
    <t>Watts</t>
  </si>
  <si>
    <t>KJ</t>
  </si>
  <si>
    <t>C</t>
  </si>
  <si>
    <t>Kg</t>
  </si>
  <si>
    <t>m^3</t>
  </si>
  <si>
    <t>KJ/kgK</t>
  </si>
  <si>
    <t>Required energy to convert water to ice @ 0 degrees celcius</t>
  </si>
  <si>
    <t>m/s</t>
  </si>
  <si>
    <t>m</t>
  </si>
  <si>
    <t>m^2</t>
  </si>
  <si>
    <t>Density of glycol room temp</t>
  </si>
  <si>
    <t>kg/m^3</t>
  </si>
  <si>
    <t>kg/s</t>
  </si>
  <si>
    <t>m^3/s</t>
  </si>
  <si>
    <t>Maximum Time available for freezing the whole volume of ice</t>
  </si>
  <si>
    <t>hrs</t>
  </si>
  <si>
    <t>Area of initial coil before separation</t>
  </si>
  <si>
    <t>Mass flow rate glycol in initial coil before separation</t>
  </si>
  <si>
    <t>Volume flow rate glycol in initial coil before separation</t>
  </si>
  <si>
    <t>Diameter of initial coil before separation</t>
  </si>
  <si>
    <t>Velocity glycol in intial coil before separation</t>
  </si>
  <si>
    <t>Pr of water at 0</t>
  </si>
  <si>
    <t>B volume expansion water at 0</t>
  </si>
  <si>
    <t>Dynamic viscosity at 0</t>
  </si>
  <si>
    <t>Properties of Water at 0</t>
  </si>
  <si>
    <t>Properties of water from 25 to 0</t>
  </si>
  <si>
    <t>Properties of Glycol</t>
  </si>
  <si>
    <t xml:space="preserve">Thermal conductivity at 0 </t>
  </si>
  <si>
    <t>1/k</t>
  </si>
  <si>
    <t>kg/m*s</t>
  </si>
  <si>
    <t>w/m*k</t>
  </si>
  <si>
    <t>Temperature @ which glycol is entering the tank</t>
  </si>
  <si>
    <t>K</t>
  </si>
  <si>
    <t>Number of Coils</t>
  </si>
  <si>
    <t>Note: Green cells are input values</t>
  </si>
  <si>
    <t>Temperature of water @ initial state</t>
  </si>
  <si>
    <t>Temperature of water @ final state</t>
  </si>
  <si>
    <t>Film Temperature on water side @ initial state</t>
  </si>
  <si>
    <t>Ra of Water at initial state</t>
  </si>
  <si>
    <t>Diameter of coils after separation</t>
  </si>
  <si>
    <t>Dynamic viscosity @ 10</t>
  </si>
  <si>
    <t>Pr of water @ 10</t>
  </si>
  <si>
    <t>B volume expansion @ 10</t>
  </si>
  <si>
    <t>Thermal conductivity @ 10</t>
  </si>
  <si>
    <t>Pr of water @ 15</t>
  </si>
  <si>
    <t>Dynamic viscosity @ 15</t>
  </si>
  <si>
    <t>B volume of expansion @ 15</t>
  </si>
  <si>
    <t>Thermal conductivity @ 15</t>
  </si>
  <si>
    <t>Nusselt Number after calculating Ra</t>
  </si>
  <si>
    <t>w/m^2 k</t>
  </si>
  <si>
    <t>w</t>
  </si>
  <si>
    <t>Heat transfer coefficient for initial state on the outside (Water side)</t>
  </si>
  <si>
    <t>Velocity of coil 1</t>
  </si>
  <si>
    <t>Velocity of coil 2</t>
  </si>
  <si>
    <t>Velocity of coil 4</t>
  </si>
  <si>
    <t>Velocity of coil 3</t>
  </si>
  <si>
    <t>Velocity of coil 5</t>
  </si>
  <si>
    <t>Velocity of coil 6</t>
  </si>
  <si>
    <t>Velocity of coil 7</t>
  </si>
  <si>
    <t>Velocity of coil 8</t>
  </si>
  <si>
    <t>Velocity of coil 9</t>
  </si>
  <si>
    <t>Velocity of coil 10</t>
  </si>
  <si>
    <t>Velocity of coil 11</t>
  </si>
  <si>
    <t>Velocity of coil 12</t>
  </si>
  <si>
    <t>Velocity of coil 13</t>
  </si>
  <si>
    <t>Velocity of coil 14</t>
  </si>
  <si>
    <t>Velocity of coil 15</t>
  </si>
  <si>
    <t>Velocity of coil 16</t>
  </si>
  <si>
    <t>Length of coils</t>
  </si>
  <si>
    <t>Reynolds number 1</t>
  </si>
  <si>
    <t>Reynolds number 2</t>
  </si>
  <si>
    <t>Reynolds number 3</t>
  </si>
  <si>
    <t>Reynolds number 4</t>
  </si>
  <si>
    <t>Reynolds number 5</t>
  </si>
  <si>
    <t>Reynolds number 6</t>
  </si>
  <si>
    <t>Reynolds number 7</t>
  </si>
  <si>
    <t>Reynolds number 8</t>
  </si>
  <si>
    <t>Reynolds number 9</t>
  </si>
  <si>
    <t>Reynolds number 10</t>
  </si>
  <si>
    <t>Reynolds number 11</t>
  </si>
  <si>
    <t>Reynolds number 12</t>
  </si>
  <si>
    <t>Reynolds number 13</t>
  </si>
  <si>
    <t>Reynolds number 14</t>
  </si>
  <si>
    <t>Reynolds number 15</t>
  </si>
  <si>
    <t>Reynolds number 16</t>
  </si>
  <si>
    <t>Volume flow rate 1</t>
  </si>
  <si>
    <t>Volume flow rate 2</t>
  </si>
  <si>
    <t>Volume flow rate 3</t>
  </si>
  <si>
    <t>Volume flow rate 4</t>
  </si>
  <si>
    <t>Volume flow rate 5</t>
  </si>
  <si>
    <t>Volume flow rate 6</t>
  </si>
  <si>
    <t>Volume flow rate 7</t>
  </si>
  <si>
    <t>Volume flow rate 8</t>
  </si>
  <si>
    <t>Volume flow rate 9</t>
  </si>
  <si>
    <t>Volume flow rate 10</t>
  </si>
  <si>
    <t>Volume flow rate 11</t>
  </si>
  <si>
    <t>Volume flow rate 12</t>
  </si>
  <si>
    <t>Volume flow rate 13</t>
  </si>
  <si>
    <t>Volume flow rate 14</t>
  </si>
  <si>
    <t>Volume flow rate 15</t>
  </si>
  <si>
    <t>Volume flow rate 16</t>
  </si>
  <si>
    <t>Friction Factor f 1</t>
  </si>
  <si>
    <t>Friction Factor f 2</t>
  </si>
  <si>
    <t>Friction Factor f 3</t>
  </si>
  <si>
    <t>Friction Factor f 4</t>
  </si>
  <si>
    <t>Friction Factor f 5</t>
  </si>
  <si>
    <t>Friction Factor f 6</t>
  </si>
  <si>
    <t>Friction Factor f 7</t>
  </si>
  <si>
    <t>Friction Factor f 8</t>
  </si>
  <si>
    <t>Friction Factor f 9</t>
  </si>
  <si>
    <t>Friction Factor f 10</t>
  </si>
  <si>
    <t>Friction Factor f 11</t>
  </si>
  <si>
    <t>Friction Factor f 12</t>
  </si>
  <si>
    <t>Friction Factor f 13</t>
  </si>
  <si>
    <t>Friction Factor f 14</t>
  </si>
  <si>
    <t>Friction Factor f 15</t>
  </si>
  <si>
    <t>Friction Factor f 16</t>
  </si>
  <si>
    <t>Dynamic Viscosity</t>
  </si>
  <si>
    <t>kg/m s</t>
  </si>
  <si>
    <t>Pressure Drop 1</t>
  </si>
  <si>
    <t>Pressure Drop 2</t>
  </si>
  <si>
    <t>Pressure Drop 3</t>
  </si>
  <si>
    <t>Pressure Drop 4</t>
  </si>
  <si>
    <t>Pressure Drop 5</t>
  </si>
  <si>
    <t>Pressure Drop 6</t>
  </si>
  <si>
    <t>Pressure Drop 7</t>
  </si>
  <si>
    <t>Pressure Drop 8</t>
  </si>
  <si>
    <t>Pressure Drop 9</t>
  </si>
  <si>
    <t>Pressure Drop 10</t>
  </si>
  <si>
    <t>Pressure Drop 11</t>
  </si>
  <si>
    <t>Pressure Drop 12</t>
  </si>
  <si>
    <t>Pressure Drop 13</t>
  </si>
  <si>
    <t>Pressure Drop 14</t>
  </si>
  <si>
    <t>Pressure Drop 15</t>
  </si>
  <si>
    <t>Pressure Drop 16</t>
  </si>
  <si>
    <t>Pa</t>
  </si>
  <si>
    <t>Pressure change for calculations</t>
  </si>
  <si>
    <t>Mass flow continuity</t>
  </si>
  <si>
    <t>Mass flow rate coil 1</t>
  </si>
  <si>
    <t>Mass flow rate coil 2</t>
  </si>
  <si>
    <t>Mass flow rate coil 3</t>
  </si>
  <si>
    <t>Mass flow rate coil 4</t>
  </si>
  <si>
    <t>Mass flow rate coil 5</t>
  </si>
  <si>
    <t>Mass flow rate coil 6</t>
  </si>
  <si>
    <t>Mass flow rate coil 7</t>
  </si>
  <si>
    <t>Mass flow rate coil 8</t>
  </si>
  <si>
    <t>Mass flow rate coil 9</t>
  </si>
  <si>
    <t>Mass flow rate coil 10</t>
  </si>
  <si>
    <t>Mass flow rate coil 11</t>
  </si>
  <si>
    <t>Mass flow rate coil 12</t>
  </si>
  <si>
    <t>Mass flow rate coil 13</t>
  </si>
  <si>
    <t>Mass flow rate coil 14</t>
  </si>
  <si>
    <t>Mass flow rate coil 15</t>
  </si>
  <si>
    <t>Mass flow rate coil 16</t>
  </si>
  <si>
    <t>Minumum power required in order to freeze all the water in the specified amount of time</t>
  </si>
  <si>
    <t>Temperature of water @ second state</t>
  </si>
  <si>
    <t>Surface Temperature on the coils 2nd state</t>
  </si>
  <si>
    <t>Surface Temperature on the coils 1st state</t>
  </si>
  <si>
    <t>Film Temperature of water second state</t>
  </si>
  <si>
    <t>Ra of water at second state</t>
  </si>
  <si>
    <t>Nusselt Number after calculating Ra 2nd phase</t>
  </si>
  <si>
    <t>Heat transfer coefficient for second state on the outside (water side)</t>
  </si>
  <si>
    <t>Pr of water @ 5</t>
  </si>
  <si>
    <t>B volume expansion @ 5</t>
  </si>
  <si>
    <t>Dynamic viscosity @ 5</t>
  </si>
  <si>
    <t>Thermal conductivity @ 5</t>
  </si>
  <si>
    <t>Surface Temperature on the coils 3rd state</t>
  </si>
  <si>
    <t>Temperature of water @ third state</t>
  </si>
  <si>
    <t>Film Temperature of water third state</t>
  </si>
  <si>
    <t>Ra number of water at third state</t>
  </si>
  <si>
    <t>Nusselt Number after calculating Ra 3rd state</t>
  </si>
  <si>
    <t>Heat transfer coefficient for third state on the outside (water side)</t>
  </si>
  <si>
    <t>Note: These are known values; therefore, they do not change.</t>
  </si>
  <si>
    <t>Film Temperature of water final state</t>
  </si>
  <si>
    <t>Surface Temperatue on the coils Final state</t>
  </si>
  <si>
    <t>Pr of water @ 0</t>
  </si>
  <si>
    <t>B volume expansion @ 0</t>
  </si>
  <si>
    <t>Dynamic viscosity @ 0</t>
  </si>
  <si>
    <t>Thermal conductivity @ 0</t>
  </si>
  <si>
    <t>Ra number of water at Final state</t>
  </si>
  <si>
    <t>Nusselt Number after calculating Ra Final State</t>
  </si>
  <si>
    <t>Heat transfer coeffient for Final state on the outside (Water side)</t>
  </si>
  <si>
    <t>Glycol entering temperature</t>
  </si>
  <si>
    <t>Pr of Glycol</t>
  </si>
  <si>
    <t>Nusselt Number of glycol inside coils</t>
  </si>
  <si>
    <t>Note: This will change depending if it is laminar or turbulent. For laminar is 3.66 but for turbulent it will change</t>
  </si>
  <si>
    <t>Heat transfer coefficient inside coils</t>
  </si>
  <si>
    <t>Thermal conductivity</t>
  </si>
  <si>
    <t>Overall Heat transfer coefficient initial state</t>
  </si>
  <si>
    <t>Overall Heat transfer coefficient Second state</t>
  </si>
  <si>
    <t>Overall Heat transfer coefficient Third state</t>
  </si>
  <si>
    <t>Overall Heat transfer coefficient Final state</t>
  </si>
  <si>
    <t>Exit Temperature  of Glycol initial state</t>
  </si>
  <si>
    <t>Exit Temperature  of Glycol Second state</t>
  </si>
  <si>
    <t>Exit Temperature  of Glycol Third  state</t>
  </si>
  <si>
    <t>Exit Temperature  of Glycol Final state</t>
  </si>
  <si>
    <t>Surface Area of one coil after separation</t>
  </si>
  <si>
    <t>Log mean temperature difference 1</t>
  </si>
  <si>
    <t>Log mean temperature difference 2</t>
  </si>
  <si>
    <t>Log mean temperature difference 3</t>
  </si>
  <si>
    <t>Log mean temperature difference 4</t>
  </si>
  <si>
    <t>Heat loss inside coil intial state</t>
  </si>
  <si>
    <t>Heat loss inside coil Second state</t>
  </si>
  <si>
    <t>Heat loss inside coil Third state</t>
  </si>
  <si>
    <t>Heat loss inside coil Final state</t>
  </si>
  <si>
    <t>Heat loss in water initial state</t>
  </si>
  <si>
    <t>Heat loss in water Second state</t>
  </si>
  <si>
    <t>Heat loss in water Third state</t>
  </si>
  <si>
    <t>Heat loss in water Final state</t>
  </si>
  <si>
    <t>Heat loss comparison 1</t>
  </si>
  <si>
    <t>Heat loss comparison 2</t>
  </si>
  <si>
    <t>Heat loss comparison 3</t>
  </si>
  <si>
    <t>Heat loss comparison 4</t>
  </si>
  <si>
    <t>Note: Usegoalseek on cell B 77 and set it to zero in order to calculate the surface temperature</t>
  </si>
  <si>
    <t>Note: Usegoalseek on cell B 78 and set it to zero in order to calculate the surface temperature</t>
  </si>
  <si>
    <t>Note: Usegoalseek on cell B 79 and set it to zero in order to calculate the surface temperature</t>
  </si>
  <si>
    <t>Note: Usegoalseek on cell B 80 and set it to zero in order to calculate the surface temperature</t>
  </si>
  <si>
    <t>Total heat loss adding all the coils initial state</t>
  </si>
  <si>
    <t>Total heat loss adding all the coils second state</t>
  </si>
  <si>
    <t>Total heat loss adding all the coils third state</t>
  </si>
  <si>
    <t>Total heat loss adding all the coils Final state</t>
  </si>
  <si>
    <t>Energy required to lower the water temperature by 5 degrees</t>
  </si>
  <si>
    <t>J</t>
  </si>
  <si>
    <t>Energy required to lower the water temperature by 8 degrees</t>
  </si>
  <si>
    <t>Energy required to lower the water temperature by 7 degrees</t>
  </si>
  <si>
    <t>Energy required to freeze the water at 0 degrees</t>
  </si>
  <si>
    <t>Required Heat Transfer to cool the water from 20 to 0 degrees celcius</t>
  </si>
  <si>
    <t>Total heat transfer to transform water to ice starting at 20 degrees celcius</t>
  </si>
  <si>
    <t>Require time in order to finish the Initial state</t>
  </si>
  <si>
    <t>Hrs</t>
  </si>
  <si>
    <t>Require time in order to finish the Second state</t>
  </si>
  <si>
    <t>Require time in order to finish the Third state</t>
  </si>
  <si>
    <t>Require time in order to finish the Final state</t>
  </si>
  <si>
    <t>J/KgK</t>
  </si>
  <si>
    <t>Maximum amount of time</t>
  </si>
  <si>
    <t>Time required to freeze the water by adding the time calculations</t>
  </si>
  <si>
    <t>Total surface area off all coils</t>
  </si>
  <si>
    <t>Area of one coil after separation</t>
  </si>
  <si>
    <t>Temperature of air</t>
  </si>
  <si>
    <t>Power needed to lower the temeperature of glycol</t>
  </si>
  <si>
    <t>Chiller Selection</t>
  </si>
  <si>
    <t>Pump Selection</t>
  </si>
  <si>
    <t>Reynolds number on the coil before separation</t>
  </si>
  <si>
    <t>Friction Factor on bigger coil</t>
  </si>
  <si>
    <t>Length on bigger coil</t>
  </si>
  <si>
    <t>Frictional loss on bigger coil</t>
  </si>
  <si>
    <t>Frictional loss on one small coil</t>
  </si>
  <si>
    <t>Frictional loss on all small coils</t>
  </si>
  <si>
    <t>Sum of all frictional losses</t>
  </si>
  <si>
    <t>Minor Losses on bigger coil</t>
  </si>
  <si>
    <t>Ball Valve K</t>
  </si>
  <si>
    <t>90 degree elbow</t>
  </si>
  <si>
    <t>Minor loss on bigger coil calculation</t>
  </si>
  <si>
    <t>Minor losses on small coil</t>
  </si>
  <si>
    <t>Tank Length</t>
  </si>
  <si>
    <t>Sudden Expansion</t>
  </si>
  <si>
    <t>Sudden Contraction</t>
  </si>
  <si>
    <t>180 elbows</t>
  </si>
  <si>
    <t>Minor loss on small coil</t>
  </si>
  <si>
    <t># of elbows</t>
  </si>
  <si>
    <t>Minor loss on all small coils</t>
  </si>
  <si>
    <t>Output power required by a pump</t>
  </si>
  <si>
    <t>Sum of all losses (Head loss)</t>
  </si>
  <si>
    <t>Volume flow rate in gal/min</t>
  </si>
  <si>
    <t>gal/min</t>
  </si>
  <si>
    <t>Head loss in ft</t>
  </si>
  <si>
    <t>ft</t>
  </si>
  <si>
    <t>Post analysis in the process</t>
  </si>
  <si>
    <t>Post analysis in the process (2nd system)</t>
  </si>
  <si>
    <t>Diameter of tube</t>
  </si>
  <si>
    <t>Velocity inside the tube</t>
  </si>
  <si>
    <t>Power needed in order to  melt all the ice</t>
  </si>
  <si>
    <t>Velocity of air</t>
  </si>
  <si>
    <t>Reynolds number</t>
  </si>
  <si>
    <t>Properties of air</t>
  </si>
  <si>
    <t>Density of air</t>
  </si>
  <si>
    <t xml:space="preserve">Pr </t>
  </si>
  <si>
    <t>Kinematic Viscocity</t>
  </si>
  <si>
    <t>m^2/s</t>
  </si>
  <si>
    <t>w/m*K</t>
  </si>
  <si>
    <t>Cp</t>
  </si>
  <si>
    <t>J/kg*K</t>
  </si>
  <si>
    <t>at 20</t>
  </si>
  <si>
    <t>Nusselt Number</t>
  </si>
  <si>
    <t>w/m^2-K</t>
  </si>
  <si>
    <t>Inside analysis</t>
  </si>
  <si>
    <t>Nusselt Number on the inside</t>
  </si>
  <si>
    <t>Heat transfer coefficient on the inside</t>
  </si>
  <si>
    <t>Initial Temperature of glycol in the air conditioner</t>
  </si>
  <si>
    <t>Mass flow rate of glycol</t>
  </si>
  <si>
    <t>Effectiveness NTU-Method</t>
  </si>
  <si>
    <t>Mass flow rate of air</t>
  </si>
  <si>
    <t>Capacitance of glycol</t>
  </si>
  <si>
    <t>Capacitance of air</t>
  </si>
  <si>
    <t>Capacity Ratio</t>
  </si>
  <si>
    <t>Reynolds Number in the air side</t>
  </si>
  <si>
    <t>Frontal area of the heat exchanger</t>
  </si>
  <si>
    <t>Qmax</t>
  </si>
  <si>
    <t>Effectiveness (E)</t>
  </si>
  <si>
    <t>Hydraulic Diameter</t>
  </si>
  <si>
    <t>Side length of the frontal area</t>
  </si>
  <si>
    <t>Heat transfer coefficient</t>
  </si>
  <si>
    <t>Number of transfer units NTU</t>
  </si>
  <si>
    <t>Surface area on the tube</t>
  </si>
  <si>
    <t>Length of the tube</t>
  </si>
  <si>
    <t>Heat transfer</t>
  </si>
  <si>
    <t>Exit temperature of glycol</t>
  </si>
  <si>
    <t>These calculations are for the A/C unit</t>
  </si>
  <si>
    <t># of tube turns</t>
  </si>
  <si>
    <t>St or separation between each turn</t>
  </si>
  <si>
    <t>Pump Selection # 2</t>
  </si>
  <si>
    <t>Friction Factor</t>
  </si>
  <si>
    <t>Frictional Loss</t>
  </si>
  <si>
    <t>Minor Losses</t>
  </si>
  <si>
    <t># 180 elbow</t>
  </si>
  <si>
    <t>180 elbow k loss</t>
  </si>
  <si>
    <t>ball valve</t>
  </si>
  <si>
    <t>Minor Loss</t>
  </si>
  <si>
    <t>Sum or all loses</t>
  </si>
  <si>
    <t>Work output pump needed</t>
  </si>
  <si>
    <t>Total Tank Volume</t>
  </si>
  <si>
    <t>Area of all coils after separation</t>
  </si>
  <si>
    <t>Volume of all coils after separation</t>
  </si>
  <si>
    <t>Tank width</t>
  </si>
  <si>
    <t>Tank Height</t>
  </si>
  <si>
    <t>St of small coils</t>
  </si>
  <si>
    <t>Tank Insulation</t>
  </si>
  <si>
    <t>Surface are of the tank</t>
  </si>
  <si>
    <t>Resistance on the insulation</t>
  </si>
  <si>
    <t>Heat transfer through the insulation</t>
  </si>
  <si>
    <t>w/m k</t>
  </si>
  <si>
    <t>Thermal conductivity polyurethane foam</t>
  </si>
  <si>
    <t>Thermal conductivity aluminum foil</t>
  </si>
  <si>
    <t>Insulation Thickness 1</t>
  </si>
  <si>
    <t>Insulation Thickness 2</t>
  </si>
  <si>
    <t>Insulator Aluminum foil &amp; polyurethane foam</t>
  </si>
  <si>
    <t>Cost Analysis</t>
  </si>
  <si>
    <t>Length of small coils (0.05)</t>
  </si>
  <si>
    <t>Length of large tubes (0.1)</t>
  </si>
  <si>
    <t xml:space="preserve">Diameter of small coils </t>
  </si>
  <si>
    <t>Diameter of large coils</t>
  </si>
  <si>
    <t>Insulation Thickness 3</t>
  </si>
  <si>
    <t>Thermal conductivity concrete</t>
  </si>
  <si>
    <t>Volume of aluminum foil</t>
  </si>
  <si>
    <t>m^4</t>
  </si>
  <si>
    <t>m^5</t>
  </si>
  <si>
    <t>Volume of polyurethane foam</t>
  </si>
  <si>
    <t>Volume of concrete</t>
  </si>
  <si>
    <t>$/m</t>
  </si>
  <si>
    <t>Total cost of small coils</t>
  </si>
  <si>
    <t>Total cost of large coils</t>
  </si>
  <si>
    <t>Cost of of small coils</t>
  </si>
  <si>
    <t>Cost of large coils</t>
  </si>
  <si>
    <t>Chiller</t>
  </si>
  <si>
    <t>$</t>
  </si>
  <si>
    <t>Tank material</t>
  </si>
  <si>
    <t>Aluminum foil</t>
  </si>
  <si>
    <t>Pumps</t>
  </si>
  <si>
    <t>Ball valves (3)</t>
  </si>
  <si>
    <t>Polyurethane foam</t>
  </si>
  <si>
    <t>Total cost</t>
  </si>
  <si>
    <t>Operating Cost</t>
  </si>
  <si>
    <t>3-ton air conditioner</t>
  </si>
  <si>
    <t>$/yr</t>
  </si>
  <si>
    <t>By usign the thermal storage tank</t>
  </si>
  <si>
    <t>On-Peak hrs</t>
  </si>
  <si>
    <t>Off Peak hrs</t>
  </si>
  <si>
    <t>3-ton air conditioner power input</t>
  </si>
  <si>
    <t>kw-hr</t>
  </si>
  <si>
    <t>3-ton air conditioner price</t>
  </si>
  <si>
    <t>Power input</t>
  </si>
  <si>
    <t>Kw</t>
  </si>
  <si>
    <t>$/kw-h</t>
  </si>
  <si>
    <t>Difference in price</t>
  </si>
  <si>
    <t>In how much time it is going to be paid off</t>
  </si>
  <si>
    <t>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</si>
</sst>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/>
    <xf numFmtId="0" fontId="0" fillId="2" borderId="0" xfId="0" applyFill="1"/>
    <xf numFmtId="2" fontId="0" fillId="0" borderId="0" xfId="0" applyNumberFormat="1"/>
    <xf numFmtId="0" fontId="1" fillId="3" borderId="0" xfId="0" applyFont="1" applyFill="1"/>
    <xf numFmtId="0" fontId="1" fillId="3" borderId="0" xfId="0" applyFont="1" applyFill="1" applyAlignment="1">
      <alignment wrapText="1"/>
    </xf>
    <xf numFmtId="2" fontId="1" fillId="3" borderId="0" xfId="0" applyNumberFormat="1" applyFont="1" applyFill="1"/>
    <xf numFmtId="2" fontId="4" fillId="3" borderId="0" xfId="0" applyNumberFormat="1" applyFont="1" applyFill="1"/>
    <xf numFmtId="2" fontId="1" fillId="3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quotePrefix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0" fillId="2" borderId="0" xfId="0" quotePrefix="1" applyFill="1" applyAlignment="1">
      <alignment horizontal="left" wrapText="1"/>
    </xf>
    <xf numFmtId="0" fontId="0" fillId="5" borderId="0" xfId="0" applyFill="1"/>
    <xf numFmtId="0" fontId="0" fillId="5" borderId="0" xfId="0" quotePrefix="1" applyFill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6" borderId="0" xfId="0" applyFill="1" applyAlignment="1">
      <alignment wrapText="1"/>
    </xf>
    <xf numFmtId="0" fontId="0" fillId="6" borderId="0" xfId="0" applyFill="1"/>
    <xf numFmtId="0" fontId="3" fillId="0" borderId="0" xfId="0" quotePrefix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7" borderId="0" xfId="0" applyFill="1"/>
    <xf numFmtId="0" fontId="1" fillId="7" borderId="0" xfId="0" applyFont="1" applyFill="1"/>
    <xf numFmtId="0" fontId="0" fillId="8" borderId="0" xfId="0" applyFill="1" applyAlignment="1">
      <alignment wrapText="1"/>
    </xf>
    <xf numFmtId="0" fontId="0" fillId="8" borderId="0" xfId="0" applyFill="1"/>
    <xf numFmtId="0" fontId="0" fillId="4" borderId="0" xfId="0" quotePrefix="1" applyFill="1" applyAlignment="1">
      <alignment horizontal="left"/>
    </xf>
    <xf numFmtId="0" fontId="0" fillId="4" borderId="0" xfId="0" applyFill="1" applyAlignment="1">
      <alignment horizontal="left"/>
    </xf>
    <xf numFmtId="0" fontId="0" fillId="9" borderId="0" xfId="0" applyFill="1" applyAlignment="1">
      <alignment wrapText="1"/>
    </xf>
    <xf numFmtId="0" fontId="0" fillId="9" borderId="0" xfId="0" applyFill="1"/>
    <xf numFmtId="0" fontId="0" fillId="9" borderId="0" xfId="0" quotePrefix="1" applyFill="1" applyAlignment="1">
      <alignment horizontal="left" wrapText="1"/>
    </xf>
    <xf numFmtId="0" fontId="0" fillId="10" borderId="0" xfId="0" applyFill="1" applyAlignment="1">
      <alignment wrapText="1"/>
    </xf>
    <xf numFmtId="0" fontId="0" fillId="10" borderId="0" xfId="0" applyFill="1"/>
    <xf numFmtId="0" fontId="1" fillId="3" borderId="0" xfId="0" quotePrefix="1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0" fillId="4" borderId="0" xfId="0" quotePrefix="1" applyFill="1" applyAlignment="1">
      <alignment horizontal="left"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0" fillId="11" borderId="0" xfId="0" applyFill="1" applyAlignment="1">
      <alignment horizontal="left" wrapText="1"/>
    </xf>
    <xf numFmtId="0" fontId="0" fillId="11" borderId="0" xfId="0" applyFill="1"/>
    <xf numFmtId="0" fontId="0" fillId="4" borderId="0" xfId="0" quotePrefix="1" applyNumberFormat="1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12" borderId="0" xfId="0" applyFill="1"/>
    <xf numFmtId="0" fontId="0" fillId="5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quotePrefix="1" applyFont="1" applyAlignment="1">
      <alignment horizontal="left" wrapText="1"/>
    </xf>
    <xf numFmtId="0" fontId="0" fillId="10" borderId="0" xfId="0" applyFill="1" applyAlignment="1">
      <alignment horizontal="left"/>
    </xf>
    <xf numFmtId="0" fontId="1" fillId="6" borderId="0" xfId="0" applyFont="1" applyFill="1" applyAlignment="1">
      <alignment wrapText="1"/>
    </xf>
    <xf numFmtId="0" fontId="0" fillId="6" borderId="0" xfId="0" applyFill="1" applyAlignment="1">
      <alignment horizontal="left"/>
    </xf>
    <xf numFmtId="0" fontId="0" fillId="6" borderId="0" xfId="0" quotePrefix="1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0" fillId="13" borderId="0" xfId="0" applyFill="1"/>
    <xf numFmtId="0" fontId="0" fillId="14" borderId="0" xfId="0" quotePrefix="1" applyFill="1" applyAlignment="1">
      <alignment horizontal="left" wrapText="1"/>
    </xf>
    <xf numFmtId="0" fontId="0" fillId="14" borderId="0" xfId="0" applyFill="1"/>
    <xf numFmtId="0" fontId="0" fillId="14" borderId="0" xfId="0" applyFill="1" applyAlignment="1">
      <alignment wrapText="1"/>
    </xf>
    <xf numFmtId="0" fontId="0" fillId="14" borderId="0" xfId="0" quotePrefix="1" applyFill="1" applyAlignment="1">
      <alignment horizontal="left"/>
    </xf>
    <xf numFmtId="0" fontId="1" fillId="14" borderId="0" xfId="0" applyFont="1" applyFill="1" applyAlignment="1">
      <alignment wrapText="1"/>
    </xf>
    <xf numFmtId="0" fontId="0" fillId="5" borderId="0" xfId="0" quotePrefix="1" applyFill="1" applyAlignment="1">
      <alignment horizontal="left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2" fontId="0" fillId="5" borderId="0" xfId="0" applyNumberFormat="1" applyFill="1"/>
    <xf numFmtId="0" fontId="1" fillId="13" borderId="0" xfId="0" quotePrefix="1" applyFont="1" applyFill="1" applyAlignment="1">
      <alignment horizontal="left" wrapText="1"/>
    </xf>
    <xf numFmtId="3" fontId="0" fillId="4" borderId="0" xfId="0" applyNumberFormat="1" applyFill="1"/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I336"/>
  <sheetViews>
    <sheetView tabSelected="1" topLeftCell="A210" workbookViewId="0">
      <selection activeCell="D210" sqref="D210"/>
    </sheetView>
  </sheetViews>
  <sheetFormatPr baseColWidth="10" defaultColWidth="11.5" defaultRowHeight="14" x14ac:dyDescent="0"/>
  <cols>
    <col min="1" max="1" width="40" customWidth="1"/>
    <col min="2" max="2" width="18.83203125" bestFit="1" customWidth="1"/>
    <col min="3" max="3" width="16" customWidth="1"/>
    <col min="4" max="4" width="33.1640625" customWidth="1"/>
  </cols>
  <sheetData>
    <row r="1" spans="1:9" ht="15">
      <c r="A1" s="2" t="s">
        <v>0</v>
      </c>
    </row>
    <row r="3" spans="1:9">
      <c r="A3" s="6" t="s">
        <v>1</v>
      </c>
      <c r="B3" s="6">
        <v>10543.5</v>
      </c>
      <c r="C3" s="6" t="s">
        <v>16</v>
      </c>
      <c r="D3" s="25" t="s">
        <v>188</v>
      </c>
    </row>
    <row r="4" spans="1:9">
      <c r="A4" s="6" t="s">
        <v>2</v>
      </c>
      <c r="B4" s="6">
        <v>12</v>
      </c>
      <c r="C4" s="6" t="s">
        <v>3</v>
      </c>
    </row>
    <row r="5" spans="1:9">
      <c r="A5" s="6" t="s">
        <v>4</v>
      </c>
      <c r="B5" s="6">
        <v>455784.19199999998</v>
      </c>
      <c r="C5" s="6" t="s">
        <v>17</v>
      </c>
    </row>
    <row r="6" spans="1:9">
      <c r="A6" s="6" t="s">
        <v>5</v>
      </c>
      <c r="B6" s="6">
        <v>20</v>
      </c>
      <c r="C6" s="6" t="s">
        <v>18</v>
      </c>
    </row>
    <row r="7" spans="1:9">
      <c r="A7" s="6" t="s">
        <v>6</v>
      </c>
      <c r="B7" s="6">
        <f>Properties!F2</f>
        <v>4.2</v>
      </c>
      <c r="C7" s="6" t="s">
        <v>21</v>
      </c>
    </row>
    <row r="8" spans="1:9" ht="28">
      <c r="A8" s="39" t="s">
        <v>242</v>
      </c>
      <c r="B8" s="8">
        <f>B9*B7*B6</f>
        <v>114731.41183098592</v>
      </c>
      <c r="C8" s="6" t="s">
        <v>17</v>
      </c>
    </row>
    <row r="9" spans="1:9">
      <c r="A9" s="6" t="s">
        <v>9</v>
      </c>
      <c r="B9" s="8">
        <f>B5/Properties!B2</f>
        <v>1365.8501408450704</v>
      </c>
      <c r="C9" s="6" t="s">
        <v>19</v>
      </c>
    </row>
    <row r="10" spans="1:9">
      <c r="A10" s="6" t="s">
        <v>11</v>
      </c>
      <c r="B10" s="9">
        <f>B9/Properties!B3</f>
        <v>1.4894767075736863</v>
      </c>
      <c r="C10" s="6" t="s">
        <v>20</v>
      </c>
    </row>
    <row r="11" spans="1:9" s="1" customFormat="1" ht="28">
      <c r="A11" s="7" t="s">
        <v>22</v>
      </c>
      <c r="B11" s="10">
        <f>B9*Properties!B2</f>
        <v>455784.19199999998</v>
      </c>
      <c r="C11" s="7" t="s">
        <v>17</v>
      </c>
    </row>
    <row r="12" spans="1:9" ht="28">
      <c r="A12" s="39" t="s">
        <v>243</v>
      </c>
      <c r="B12" s="8">
        <f>B8+B11</f>
        <v>570515.60383098596</v>
      </c>
      <c r="C12" s="6" t="s">
        <v>17</v>
      </c>
    </row>
    <row r="13" spans="1:9" ht="28">
      <c r="A13" s="7" t="s">
        <v>30</v>
      </c>
      <c r="B13" s="6">
        <f>6.5*24</f>
        <v>156</v>
      </c>
      <c r="C13" s="6" t="s">
        <v>31</v>
      </c>
    </row>
    <row r="15" spans="1:9">
      <c r="A15" s="11" t="s">
        <v>36</v>
      </c>
      <c r="B15" s="4">
        <v>3</v>
      </c>
      <c r="C15" t="s">
        <v>23</v>
      </c>
      <c r="D15" s="14" t="s">
        <v>50</v>
      </c>
    </row>
    <row r="16" spans="1:9">
      <c r="A16" s="19" t="s">
        <v>173</v>
      </c>
      <c r="B16" s="4">
        <v>290.39119936695499</v>
      </c>
      <c r="C16" t="s">
        <v>48</v>
      </c>
      <c r="D16" s="3" t="s">
        <v>229</v>
      </c>
      <c r="E16" s="3"/>
      <c r="F16" s="3"/>
      <c r="G16" s="3"/>
      <c r="H16" s="3"/>
      <c r="I16" s="3"/>
    </row>
    <row r="17" spans="1:9">
      <c r="A17" s="11" t="s">
        <v>172</v>
      </c>
      <c r="B17" s="4">
        <v>286.70608384722914</v>
      </c>
      <c r="C17" t="s">
        <v>48</v>
      </c>
      <c r="D17" s="25" t="s">
        <v>230</v>
      </c>
      <c r="E17" s="3"/>
      <c r="F17" s="3"/>
      <c r="G17" s="3"/>
      <c r="H17" s="3"/>
      <c r="I17" s="3"/>
    </row>
    <row r="18" spans="1:9">
      <c r="A18" s="11" t="s">
        <v>182</v>
      </c>
      <c r="B18" s="4">
        <v>276.49071050407593</v>
      </c>
      <c r="C18" t="s">
        <v>48</v>
      </c>
      <c r="D18" s="25" t="s">
        <v>231</v>
      </c>
      <c r="E18" s="3"/>
      <c r="F18" s="3"/>
      <c r="G18" s="3"/>
      <c r="H18" s="3"/>
      <c r="I18" s="3"/>
    </row>
    <row r="19" spans="1:9">
      <c r="A19" s="11" t="s">
        <v>190</v>
      </c>
      <c r="B19" s="4">
        <v>271.88833635530426</v>
      </c>
      <c r="C19" t="s">
        <v>48</v>
      </c>
      <c r="D19" s="25" t="s">
        <v>232</v>
      </c>
      <c r="E19" s="3"/>
      <c r="F19" s="3"/>
      <c r="G19" s="3"/>
      <c r="H19" s="3"/>
      <c r="I19" s="3"/>
    </row>
    <row r="20" spans="1:9">
      <c r="A20" s="4" t="s">
        <v>35</v>
      </c>
      <c r="B20" s="4">
        <v>0.05</v>
      </c>
      <c r="C20" t="s">
        <v>24</v>
      </c>
    </row>
    <row r="21" spans="1:9">
      <c r="A21" s="4" t="s">
        <v>55</v>
      </c>
      <c r="B21" s="4">
        <v>2.4E-2</v>
      </c>
      <c r="C21" t="s">
        <v>24</v>
      </c>
    </row>
    <row r="22" spans="1:9">
      <c r="A22" s="4" t="s">
        <v>84</v>
      </c>
      <c r="B22" s="4">
        <v>13</v>
      </c>
      <c r="C22" t="s">
        <v>24</v>
      </c>
    </row>
    <row r="23" spans="1:9">
      <c r="A23" s="4" t="s">
        <v>49</v>
      </c>
      <c r="B23" s="4">
        <v>32</v>
      </c>
    </row>
    <row r="24" spans="1:9">
      <c r="A24" s="48" t="s">
        <v>270</v>
      </c>
      <c r="B24" s="4">
        <v>1.2</v>
      </c>
      <c r="C24" t="s">
        <v>24</v>
      </c>
    </row>
    <row r="25" spans="1:9">
      <c r="A25" s="32" t="s">
        <v>212</v>
      </c>
      <c r="B25" s="18">
        <f>((3.1416*B21)*B22)</f>
        <v>0.98017920000000003</v>
      </c>
      <c r="C25" t="s">
        <v>25</v>
      </c>
    </row>
    <row r="26" spans="1:9">
      <c r="A26" s="32" t="s">
        <v>252</v>
      </c>
      <c r="B26" s="18">
        <f>B23*B25</f>
        <v>31.365734400000001</v>
      </c>
      <c r="C26" t="s">
        <v>25</v>
      </c>
    </row>
    <row r="27" spans="1:9">
      <c r="A27" s="33" t="s">
        <v>253</v>
      </c>
      <c r="B27" s="18">
        <f>((3.1416)*((B21)^2))/4</f>
        <v>4.5239040000000002E-4</v>
      </c>
      <c r="C27" t="s">
        <v>25</v>
      </c>
    </row>
    <row r="28" spans="1:9">
      <c r="A28" s="33" t="s">
        <v>337</v>
      </c>
      <c r="B28" s="18">
        <f>B23*B27</f>
        <v>1.4476492800000001E-2</v>
      </c>
      <c r="C28" t="s">
        <v>25</v>
      </c>
    </row>
    <row r="29" spans="1:9">
      <c r="A29" s="33" t="s">
        <v>338</v>
      </c>
      <c r="B29" s="18">
        <f>B28*B22</f>
        <v>0.18819440640000001</v>
      </c>
      <c r="C29" s="16" t="s">
        <v>20</v>
      </c>
    </row>
    <row r="30" spans="1:9">
      <c r="A30" t="s">
        <v>32</v>
      </c>
      <c r="B30">
        <f>((3.1416)*B20^2)/4</f>
        <v>1.9635000000000004E-3</v>
      </c>
      <c r="C30" t="s">
        <v>25</v>
      </c>
    </row>
    <row r="31" spans="1:9" ht="28">
      <c r="A31" s="1" t="s">
        <v>33</v>
      </c>
      <c r="B31">
        <f>B15*B30*Properties!J3</f>
        <v>6.5325645000000021</v>
      </c>
      <c r="C31" t="s">
        <v>28</v>
      </c>
    </row>
    <row r="32" spans="1:9" ht="28">
      <c r="A32" s="1" t="s">
        <v>34</v>
      </c>
      <c r="B32">
        <f>B30*B15</f>
        <v>5.8905000000000016E-3</v>
      </c>
      <c r="C32" t="s">
        <v>29</v>
      </c>
    </row>
    <row r="33" spans="1:4" ht="28">
      <c r="A33" s="15" t="s">
        <v>170</v>
      </c>
      <c r="B33" s="5">
        <f>((B12/B13)/3600)*1000</f>
        <v>1015.8753629469122</v>
      </c>
      <c r="C33" t="s">
        <v>66</v>
      </c>
    </row>
    <row r="34" spans="1:4">
      <c r="A34" s="1" t="s">
        <v>47</v>
      </c>
      <c r="B34">
        <f>-10+273</f>
        <v>263</v>
      </c>
      <c r="C34" t="s">
        <v>48</v>
      </c>
    </row>
    <row r="35" spans="1:4">
      <c r="A35" s="23" t="s">
        <v>51</v>
      </c>
      <c r="B35">
        <f>20+273</f>
        <v>293</v>
      </c>
      <c r="C35" t="s">
        <v>48</v>
      </c>
    </row>
    <row r="36" spans="1:4">
      <c r="A36" s="1" t="s">
        <v>52</v>
      </c>
      <c r="B36">
        <v>273</v>
      </c>
      <c r="C36" t="s">
        <v>48</v>
      </c>
    </row>
    <row r="37" spans="1:4">
      <c r="A37" s="1" t="s">
        <v>53</v>
      </c>
      <c r="B37">
        <f>(B16+B35)/2</f>
        <v>291.6955996834775</v>
      </c>
      <c r="C37" t="s">
        <v>48</v>
      </c>
    </row>
    <row r="38" spans="1:4" ht="28">
      <c r="A38" s="1" t="s">
        <v>54</v>
      </c>
      <c r="B38">
        <f>ABS((((((9.81)*((Properties!F$8))*(('Storage Tank'!B$16)-('Storage Tank'!B$35))*(('Storage Tank'!B$21)^3))/((Properties!F$9/999.1)^2)))*(Properties!F$7)))</f>
        <v>304442.04150267504</v>
      </c>
      <c r="C38" s="1" t="str">
        <f>IF(B38&lt;1*10^12,"Ra number is correct","Ra number is incorrect")</f>
        <v>Ra number is correct</v>
      </c>
      <c r="D38" s="1"/>
    </row>
    <row r="39" spans="1:4">
      <c r="A39" s="1" t="s">
        <v>64</v>
      </c>
      <c r="B39">
        <f>((0.6+((0.387*(B38^(1/6)))/((1+(0.559/Properties!F7)^(9/16))^(8/27))))^2)</f>
        <v>12.893677836963535</v>
      </c>
    </row>
    <row r="40" spans="1:4" ht="28">
      <c r="A40" s="1" t="s">
        <v>67</v>
      </c>
      <c r="B40" s="20">
        <f>(Properties!F10/'Storage Tank'!B21)*'Storage Tank'!B39</f>
        <v>316.43234358214676</v>
      </c>
      <c r="C40" t="s">
        <v>65</v>
      </c>
    </row>
    <row r="41" spans="1:4">
      <c r="A41" s="23" t="s">
        <v>171</v>
      </c>
      <c r="B41">
        <f>15+273</f>
        <v>288</v>
      </c>
      <c r="C41" t="s">
        <v>48</v>
      </c>
    </row>
    <row r="42" spans="1:4">
      <c r="A42" s="1" t="s">
        <v>174</v>
      </c>
      <c r="B42">
        <f>(B41+B17)/2</f>
        <v>287.35304192361457</v>
      </c>
    </row>
    <row r="43" spans="1:4" ht="28">
      <c r="A43" s="1" t="s">
        <v>175</v>
      </c>
      <c r="B43" s="16">
        <f>ABS((((((9.81)*((Properties!F$4))*(('Storage Tank'!B$17)-('Storage Tank'!B$41))*(('Storage Tank'!B$21)^3))/((Properties!F$5/999.1)^2)))*(Properties!F$3)))</f>
        <v>710250.24616723205</v>
      </c>
      <c r="C43" s="1" t="str">
        <f>IF(B43&lt;1*10^12,"Ra number is correct","Ra number is incorrect")</f>
        <v>Ra number is correct</v>
      </c>
    </row>
    <row r="44" spans="1:4">
      <c r="A44" s="15" t="s">
        <v>176</v>
      </c>
      <c r="B44">
        <f>((0.6+((0.387*(B43^(1/6)))/((1+(0.559/Properties!F3)^(9/16))^(8/27))))^2)</f>
        <v>16.483626648085345</v>
      </c>
    </row>
    <row r="45" spans="1:4" ht="28">
      <c r="A45" s="1" t="s">
        <v>177</v>
      </c>
      <c r="B45" s="21">
        <f>(Properties!F6/'Storage Tank'!B21)*'Storage Tank'!B44</f>
        <v>398.35431066206246</v>
      </c>
      <c r="C45" t="s">
        <v>65</v>
      </c>
    </row>
    <row r="46" spans="1:4">
      <c r="A46" s="23" t="s">
        <v>183</v>
      </c>
      <c r="B46">
        <f>5+273</f>
        <v>278</v>
      </c>
      <c r="C46" t="s">
        <v>48</v>
      </c>
    </row>
    <row r="47" spans="1:4">
      <c r="A47" s="15" t="s">
        <v>184</v>
      </c>
      <c r="B47">
        <f>(B46+B18)/2</f>
        <v>277.24535525203794</v>
      </c>
      <c r="C47" t="s">
        <v>48</v>
      </c>
    </row>
    <row r="48" spans="1:4" ht="28">
      <c r="A48" t="s">
        <v>185</v>
      </c>
      <c r="B48" s="16">
        <f>ABS((((((9.81)*((Properties!F$12))*(('Storage Tank'!B$18)-('Storage Tank'!B$46))*(('Storage Tank'!B$21)^3))/((Properties!F$13/999.1)^2)))*(Properties!F$11)))</f>
        <v>14876.026179919505</v>
      </c>
      <c r="C48" s="1" t="str">
        <f>IF(B48&lt;1*10^12,"Ra number is correct","Ra number is incorrect")</f>
        <v>Ra number is correct</v>
      </c>
    </row>
    <row r="49" spans="1:4">
      <c r="A49" s="1" t="s">
        <v>186</v>
      </c>
      <c r="B49">
        <f>((0.6+((0.387*(B48^(1/6)))/((1+(0.559/Properties!F11)^(9/16))^(8/27))))^2)</f>
        <v>5.8805045005581</v>
      </c>
    </row>
    <row r="50" spans="1:4" ht="28">
      <c r="A50" s="1" t="s">
        <v>187</v>
      </c>
      <c r="B50" s="20">
        <f>(Properties!F14/'Storage Tank'!B21)*B49</f>
        <v>139.90700290911144</v>
      </c>
      <c r="C50" t="s">
        <v>65</v>
      </c>
    </row>
    <row r="51" spans="1:4">
      <c r="A51" s="24" t="s">
        <v>52</v>
      </c>
      <c r="B51">
        <f>B36</f>
        <v>273</v>
      </c>
      <c r="C51" t="s">
        <v>48</v>
      </c>
    </row>
    <row r="52" spans="1:4">
      <c r="A52" t="s">
        <v>189</v>
      </c>
      <c r="B52">
        <f>(B51+B19)/2</f>
        <v>272.44416817765216</v>
      </c>
      <c r="C52" t="s">
        <v>48</v>
      </c>
    </row>
    <row r="53" spans="1:4">
      <c r="A53" s="16" t="s">
        <v>195</v>
      </c>
      <c r="B53" s="16">
        <f>ABS((((((9.81)*((Properties!F$16))*(('Storage Tank'!B$19)-('Storage Tank'!B$51))*(('Storage Tank'!B$21)^3))/((Properties!F$17/999.1)^2)))*(Properties!F$15)))</f>
        <v>43019.040928278155</v>
      </c>
    </row>
    <row r="54" spans="1:4">
      <c r="A54" s="27" t="s">
        <v>196</v>
      </c>
      <c r="B54" s="17">
        <f>((0.6+((0.387*(B53^(1/6)))/((1+(0.559/Properties!F15)^(9/16))^(8/27))))^2)</f>
        <v>7.775569449916941</v>
      </c>
    </row>
    <row r="55" spans="1:4" ht="28">
      <c r="A55" s="1" t="s">
        <v>197</v>
      </c>
      <c r="B55" s="20">
        <f>(Properties!F18/'Storage Tank'!B21)*B54</f>
        <v>181.75393589180848</v>
      </c>
      <c r="C55" t="s">
        <v>65</v>
      </c>
    </row>
    <row r="56" spans="1:4">
      <c r="A56" s="30"/>
      <c r="B56" s="31"/>
      <c r="C56" s="31"/>
    </row>
    <row r="57" spans="1:4">
      <c r="A57" s="1" t="s">
        <v>198</v>
      </c>
      <c r="B57" s="18">
        <f>B34</f>
        <v>263</v>
      </c>
      <c r="C57" t="s">
        <v>48</v>
      </c>
    </row>
    <row r="58" spans="1:4">
      <c r="A58" s="1" t="s">
        <v>200</v>
      </c>
      <c r="B58" s="18">
        <f>IF(B271&lt;2300,3.66,(((B287/8)*(B271-1000))*(Properties!J$5))/(1+(12.7*(('Storage Tank'!B287/8)^0.5)*((Properties!J$5)^(2/3)-1))))</f>
        <v>3.66</v>
      </c>
      <c r="C58" s="3"/>
      <c r="D58" s="3" t="s">
        <v>201</v>
      </c>
    </row>
    <row r="59" spans="1:4">
      <c r="A59" s="1" t="s">
        <v>202</v>
      </c>
      <c r="B59" s="18">
        <f>(Properties!J6/'Storage Tank'!B21)*('Storage Tank'!B58)</f>
        <v>36.904999999999994</v>
      </c>
      <c r="C59" t="s">
        <v>65</v>
      </c>
    </row>
    <row r="60" spans="1:4">
      <c r="A60" s="1" t="s">
        <v>204</v>
      </c>
      <c r="B60" s="20">
        <f>(1/((1/B59)+(1/B40)))</f>
        <v>33.050386131020829</v>
      </c>
      <c r="C60" t="s">
        <v>65</v>
      </c>
    </row>
    <row r="61" spans="1:4">
      <c r="A61" s="1" t="s">
        <v>205</v>
      </c>
      <c r="B61" s="20">
        <f>(1/((1/B59)+(1/B45)))</f>
        <v>33.775879056146259</v>
      </c>
      <c r="C61" t="s">
        <v>65</v>
      </c>
    </row>
    <row r="62" spans="1:4">
      <c r="A62" s="1" t="s">
        <v>206</v>
      </c>
      <c r="B62" s="20">
        <f>(1/((1/B59)+(1/B50)))</f>
        <v>29.202021680705052</v>
      </c>
      <c r="C62" t="s">
        <v>65</v>
      </c>
    </row>
    <row r="63" spans="1:4">
      <c r="A63" s="1" t="s">
        <v>207</v>
      </c>
      <c r="B63" s="20">
        <f>(1/((1/B59)+(1/B55)))</f>
        <v>30.676217172327672</v>
      </c>
      <c r="C63" t="s">
        <v>65</v>
      </c>
    </row>
    <row r="64" spans="1:4">
      <c r="A64" s="30"/>
      <c r="B64" s="31"/>
      <c r="C64" s="31"/>
    </row>
    <row r="65" spans="1:3">
      <c r="A65" s="1" t="s">
        <v>208</v>
      </c>
      <c r="B65" s="18">
        <f>(B16-((B16-B57)*EXP((-B60*B25)/(B321*Properties!J2))))</f>
        <v>264.83075892034628</v>
      </c>
      <c r="C65" t="s">
        <v>48</v>
      </c>
    </row>
    <row r="66" spans="1:3">
      <c r="A66" s="15" t="s">
        <v>209</v>
      </c>
      <c r="B66" s="18">
        <f>(B17-((B17-B57)*EXP((-B61*B25)/(B321*Properties!J2))))</f>
        <v>264.6180210100847</v>
      </c>
      <c r="C66" t="s">
        <v>48</v>
      </c>
    </row>
    <row r="67" spans="1:3">
      <c r="A67" s="15" t="s">
        <v>210</v>
      </c>
      <c r="B67" s="18">
        <f>(B18-((B18-B57)*EXP((-B62*B25)/(B321*Properties!J2))))</f>
        <v>263.79987366914236</v>
      </c>
      <c r="C67" t="s">
        <v>48</v>
      </c>
    </row>
    <row r="68" spans="1:3">
      <c r="A68" s="15" t="s">
        <v>211</v>
      </c>
      <c r="B68" s="18">
        <f>(B19-((B19-B57)*EXP((-B63*B25)/(B321*Properties!J2))))</f>
        <v>263.5527553065013</v>
      </c>
      <c r="C68" t="s">
        <v>48</v>
      </c>
    </row>
    <row r="69" spans="1:3">
      <c r="A69" s="1" t="s">
        <v>213</v>
      </c>
      <c r="B69" s="18">
        <f>(B$57-B65)/(LN((B16-B65)/(B16-B$57)))</f>
        <v>26.465267047269069</v>
      </c>
      <c r="C69" t="s">
        <v>48</v>
      </c>
    </row>
    <row r="70" spans="1:3">
      <c r="A70" s="1" t="s">
        <v>214</v>
      </c>
      <c r="B70" s="18">
        <f>(B$57-B66)/(LN((B17-B66)/(B17-B$57)))</f>
        <v>22.887542050943871</v>
      </c>
      <c r="C70" t="s">
        <v>48</v>
      </c>
    </row>
    <row r="71" spans="1:3">
      <c r="A71" s="1" t="s">
        <v>215</v>
      </c>
      <c r="B71" s="18">
        <f>(B$57-B67)/(LN((B18-B67)/(B18-B$57)))</f>
        <v>13.086699825686193</v>
      </c>
      <c r="C71" t="s">
        <v>48</v>
      </c>
    </row>
    <row r="72" spans="1:3">
      <c r="A72" s="1" t="s">
        <v>216</v>
      </c>
      <c r="B72" s="18">
        <f>(B$57-B68)/(LN((B19-B68)/(B19-B$57)))</f>
        <v>8.6090013571263491</v>
      </c>
      <c r="C72" t="s">
        <v>48</v>
      </c>
    </row>
    <row r="73" spans="1:3">
      <c r="A73" s="34" t="s">
        <v>217</v>
      </c>
      <c r="B73" s="35">
        <f>B60*(B$25)*(B69)</f>
        <v>857.35029303662679</v>
      </c>
      <c r="C73" t="s">
        <v>66</v>
      </c>
    </row>
    <row r="74" spans="1:3">
      <c r="A74" s="36" t="s">
        <v>218</v>
      </c>
      <c r="B74" s="35">
        <f t="shared" ref="B74:B76" si="0">B61*(B$25)*(B70)</f>
        <v>757.72444515695429</v>
      </c>
      <c r="C74" t="s">
        <v>66</v>
      </c>
    </row>
    <row r="75" spans="1:3">
      <c r="A75" s="36" t="s">
        <v>219</v>
      </c>
      <c r="B75" s="35">
        <f t="shared" si="0"/>
        <v>374.58341292788919</v>
      </c>
      <c r="C75" t="s">
        <v>66</v>
      </c>
    </row>
    <row r="76" spans="1:3">
      <c r="A76" s="36" t="s">
        <v>220</v>
      </c>
      <c r="B76" s="35">
        <f t="shared" si="0"/>
        <v>258.85708857658216</v>
      </c>
      <c r="C76" t="s">
        <v>66</v>
      </c>
    </row>
    <row r="77" spans="1:3">
      <c r="A77" s="1" t="s">
        <v>221</v>
      </c>
      <c r="B77" s="18">
        <f>B40*B$25*(B35-B16)</f>
        <v>809.14665148252629</v>
      </c>
      <c r="C77" t="s">
        <v>66</v>
      </c>
    </row>
    <row r="78" spans="1:3">
      <c r="A78" s="15" t="s">
        <v>222</v>
      </c>
      <c r="B78" s="18">
        <f>B45*B25*(B41-B17)</f>
        <v>505.22070187392859</v>
      </c>
      <c r="C78" t="s">
        <v>66</v>
      </c>
    </row>
    <row r="79" spans="1:3">
      <c r="A79" s="15" t="s">
        <v>223</v>
      </c>
      <c r="B79" s="18">
        <f>B50*B25*(B46-B18)</f>
        <v>206.9748064014463</v>
      </c>
      <c r="C79" t="s">
        <v>66</v>
      </c>
    </row>
    <row r="80" spans="1:3">
      <c r="A80" s="15" t="s">
        <v>224</v>
      </c>
      <c r="B80" s="18">
        <f>B55*B25*(B51-B19)</f>
        <v>198.04446517936958</v>
      </c>
      <c r="C80" t="s">
        <v>66</v>
      </c>
    </row>
    <row r="81" spans="1:3">
      <c r="A81" s="37" t="s">
        <v>225</v>
      </c>
      <c r="B81" s="38">
        <f>B73-B77</f>
        <v>48.2036415541005</v>
      </c>
      <c r="C81" t="s">
        <v>66</v>
      </c>
    </row>
    <row r="82" spans="1:3">
      <c r="A82" s="37" t="s">
        <v>226</v>
      </c>
      <c r="B82" s="38">
        <f>B74-B78</f>
        <v>252.5037432830257</v>
      </c>
      <c r="C82" t="s">
        <v>66</v>
      </c>
    </row>
    <row r="83" spans="1:3">
      <c r="A83" s="37" t="s">
        <v>227</v>
      </c>
      <c r="B83" s="38">
        <f>B75-B79</f>
        <v>167.60860652644288</v>
      </c>
      <c r="C83" t="s">
        <v>66</v>
      </c>
    </row>
    <row r="84" spans="1:3">
      <c r="A84" s="37" t="s">
        <v>228</v>
      </c>
      <c r="B84" s="38">
        <f>B76-B80</f>
        <v>60.812623397212576</v>
      </c>
      <c r="C84" t="s">
        <v>66</v>
      </c>
    </row>
    <row r="85" spans="1:3">
      <c r="A85" s="30"/>
      <c r="B85" s="31"/>
      <c r="C85" s="31"/>
    </row>
    <row r="86" spans="1:3">
      <c r="A86" s="1" t="s">
        <v>233</v>
      </c>
      <c r="B86" s="18">
        <f>B73*B$23</f>
        <v>27435.209377172057</v>
      </c>
      <c r="C86" t="s">
        <v>66</v>
      </c>
    </row>
    <row r="87" spans="1:3">
      <c r="A87" s="15" t="s">
        <v>234</v>
      </c>
      <c r="B87" s="18">
        <f t="shared" ref="B87:B89" si="1">B74*B$23</f>
        <v>24247.182245022537</v>
      </c>
      <c r="C87" t="s">
        <v>66</v>
      </c>
    </row>
    <row r="88" spans="1:3">
      <c r="A88" s="15" t="s">
        <v>235</v>
      </c>
      <c r="B88" s="18">
        <f t="shared" si="1"/>
        <v>11986.669213692454</v>
      </c>
      <c r="C88" t="s">
        <v>66</v>
      </c>
    </row>
    <row r="89" spans="1:3">
      <c r="A89" s="15" t="s">
        <v>236</v>
      </c>
      <c r="B89" s="18">
        <f t="shared" si="1"/>
        <v>8283.426834450629</v>
      </c>
      <c r="C89" t="s">
        <v>66</v>
      </c>
    </row>
    <row r="90" spans="1:3">
      <c r="A90" s="30"/>
      <c r="B90" s="31"/>
      <c r="C90" s="31"/>
    </row>
    <row r="91" spans="1:3" ht="28">
      <c r="A91" s="1" t="s">
        <v>237</v>
      </c>
      <c r="B91" s="18">
        <f>(B$9*(Properties!F$2)*(5))*1000</f>
        <v>28682852.95774648</v>
      </c>
      <c r="C91" t="s">
        <v>238</v>
      </c>
    </row>
    <row r="92" spans="1:3" ht="28">
      <c r="A92" s="15" t="s">
        <v>239</v>
      </c>
      <c r="B92" s="18">
        <f>(B$9*(Properties!F$2)*(8))*1000</f>
        <v>45892564.732394367</v>
      </c>
      <c r="C92" t="s">
        <v>238</v>
      </c>
    </row>
    <row r="93" spans="1:3" ht="28">
      <c r="A93" s="15" t="s">
        <v>240</v>
      </c>
      <c r="B93" s="18">
        <f>(B$9*(Properties!F$2)*(7))*1000</f>
        <v>40155994.140845075</v>
      </c>
      <c r="C93" t="s">
        <v>238</v>
      </c>
    </row>
    <row r="94" spans="1:3">
      <c r="A94" s="27" t="s">
        <v>241</v>
      </c>
      <c r="B94" s="18">
        <f>B11*1000</f>
        <v>455784192</v>
      </c>
      <c r="C94" t="s">
        <v>238</v>
      </c>
    </row>
    <row r="95" spans="1:3">
      <c r="A95" s="1" t="s">
        <v>244</v>
      </c>
      <c r="B95" s="18">
        <f>(B91/B86)/3600</f>
        <v>0.29040999998924888</v>
      </c>
      <c r="C95" t="s">
        <v>245</v>
      </c>
    </row>
    <row r="96" spans="1:3">
      <c r="A96" s="15" t="s">
        <v>246</v>
      </c>
      <c r="B96" s="18">
        <f t="shared" ref="B96:B98" si="2">(B92/B87)/3600</f>
        <v>0.52574911670423974</v>
      </c>
      <c r="C96" t="s">
        <v>245</v>
      </c>
    </row>
    <row r="97" spans="1:4">
      <c r="A97" s="15" t="s">
        <v>247</v>
      </c>
      <c r="B97" s="18">
        <f t="shared" si="2"/>
        <v>0.93057067130538762</v>
      </c>
      <c r="C97" t="s">
        <v>245</v>
      </c>
    </row>
    <row r="98" spans="1:4">
      <c r="A98" s="15" t="s">
        <v>248</v>
      </c>
      <c r="B98" s="18">
        <f t="shared" si="2"/>
        <v>15.28434095336544</v>
      </c>
      <c r="C98" t="s">
        <v>245</v>
      </c>
    </row>
    <row r="99" spans="1:4">
      <c r="A99" s="1" t="s">
        <v>250</v>
      </c>
      <c r="B99" s="18">
        <f>B13</f>
        <v>156</v>
      </c>
      <c r="C99" t="s">
        <v>245</v>
      </c>
    </row>
    <row r="100" spans="1:4" ht="28">
      <c r="A100" s="23" t="s">
        <v>251</v>
      </c>
      <c r="B100" s="24">
        <f>B95+B96+B97+B98</f>
        <v>17.031070741364317</v>
      </c>
      <c r="C100" s="24" t="s">
        <v>245</v>
      </c>
    </row>
    <row r="101" spans="1:4">
      <c r="A101" s="30"/>
      <c r="B101" s="31"/>
      <c r="C101" s="31"/>
    </row>
    <row r="102" spans="1:4">
      <c r="A102" s="42" t="s">
        <v>256</v>
      </c>
      <c r="B102" s="18"/>
      <c r="C102" s="18"/>
    </row>
    <row r="103" spans="1:4">
      <c r="A103" s="40" t="s">
        <v>255</v>
      </c>
      <c r="B103" s="18">
        <f>B31*(Properties!J2)*('Storage Tank'!B65-'Storage Tank'!B34)</f>
        <v>27435.209377171999</v>
      </c>
      <c r="C103" s="18" t="s">
        <v>66</v>
      </c>
    </row>
    <row r="104" spans="1:4">
      <c r="A104" s="41"/>
      <c r="B104" s="18"/>
      <c r="C104" s="18"/>
      <c r="D104" s="3"/>
    </row>
    <row r="105" spans="1:4">
      <c r="A105" s="44" t="s">
        <v>257</v>
      </c>
      <c r="B105" s="18"/>
      <c r="C105" s="18"/>
    </row>
    <row r="106" spans="1:4">
      <c r="A106" s="43" t="s">
        <v>258</v>
      </c>
      <c r="B106" s="18">
        <f>((Properties!J3)*('Storage Tank'!B15)*('Storage Tank'!B20))/(Properties!J4)</f>
        <v>7799.240470720616</v>
      </c>
      <c r="C106" s="18"/>
    </row>
    <row r="107" spans="1:4">
      <c r="A107" s="41" t="s">
        <v>259</v>
      </c>
      <c r="B107" s="18">
        <f>IF(B106&gt;2300,(-2*(LOG((0.0000015/(3.7065*('Storage Tank'!B$20)))-((5.0452/'Storage Tank'!B106)*(LOG((1/2.8257)*((0.0000015/'Storage Tank'!B$20)^1.1098)+(5.8506/((('Storage Tank'!B106)^0.8981)))))))))^-2,64/B106)</f>
        <v>3.3023575882961571E-2</v>
      </c>
      <c r="C107" s="18"/>
    </row>
    <row r="108" spans="1:4">
      <c r="A108" s="45" t="s">
        <v>260</v>
      </c>
      <c r="B108" s="46">
        <v>1.2</v>
      </c>
      <c r="C108" s="18" t="s">
        <v>24</v>
      </c>
    </row>
    <row r="109" spans="1:4">
      <c r="A109" s="40" t="s">
        <v>261</v>
      </c>
      <c r="B109" s="18">
        <f>((B107)*(B108)/(B20))*(((B15)^2)/(2*9.81))</f>
        <v>0.36356230329865946</v>
      </c>
      <c r="C109" s="18" t="s">
        <v>24</v>
      </c>
    </row>
    <row r="110" spans="1:4">
      <c r="A110" s="41" t="s">
        <v>262</v>
      </c>
      <c r="B110" s="18">
        <f>(((B287)*(B22))/(B21))*(((B239)^2)/(2*9.81))</f>
        <v>0.57614207121057204</v>
      </c>
      <c r="C110" s="18" t="s">
        <v>24</v>
      </c>
    </row>
    <row r="111" spans="1:4">
      <c r="A111" s="40" t="s">
        <v>263</v>
      </c>
      <c r="B111" s="18">
        <f>B110*B23</f>
        <v>18.436546278738305</v>
      </c>
      <c r="C111" s="18" t="s">
        <v>24</v>
      </c>
    </row>
    <row r="112" spans="1:4">
      <c r="A112" s="40" t="s">
        <v>264</v>
      </c>
      <c r="B112" s="18">
        <f>B109+B111</f>
        <v>18.800108582036966</v>
      </c>
      <c r="C112" s="18" t="s">
        <v>24</v>
      </c>
    </row>
    <row r="113" spans="1:3">
      <c r="A113" s="41" t="s">
        <v>265</v>
      </c>
      <c r="B113" s="18"/>
      <c r="C113" s="18"/>
    </row>
    <row r="114" spans="1:3">
      <c r="A114" s="41" t="s">
        <v>266</v>
      </c>
      <c r="B114" s="47">
        <v>0.05</v>
      </c>
      <c r="C114" s="18"/>
    </row>
    <row r="115" spans="1:3">
      <c r="A115" s="40" t="s">
        <v>267</v>
      </c>
      <c r="B115" s="47">
        <v>0.31</v>
      </c>
      <c r="C115" s="18"/>
    </row>
    <row r="116" spans="1:3">
      <c r="A116" s="40" t="s">
        <v>268</v>
      </c>
      <c r="B116" s="18">
        <f>(B114+B115)*(((B15)^2)/(2*9.81))</f>
        <v>0.16513761467889906</v>
      </c>
      <c r="C116" s="18" t="s">
        <v>24</v>
      </c>
    </row>
    <row r="117" spans="1:3">
      <c r="A117" s="42" t="s">
        <v>269</v>
      </c>
      <c r="B117" s="18"/>
      <c r="C117" s="18"/>
    </row>
    <row r="118" spans="1:3">
      <c r="A118" s="41" t="s">
        <v>272</v>
      </c>
      <c r="B118" s="18">
        <f>(0.5-(0.167*(B20/B21)-0.125*((B20/B21)^2)-0.208*((B20/B21)^3)))</f>
        <v>2.5754050925925926</v>
      </c>
      <c r="C118" s="18"/>
    </row>
    <row r="119" spans="1:3">
      <c r="A119" s="40" t="s">
        <v>271</v>
      </c>
      <c r="B119" s="18">
        <f>(((B20/B21)^2)-1)^2</f>
        <v>11.157455632716054</v>
      </c>
      <c r="C119" s="18"/>
    </row>
    <row r="120" spans="1:3">
      <c r="A120" s="1" t="s">
        <v>273</v>
      </c>
      <c r="B120" s="18">
        <v>0.3</v>
      </c>
    </row>
    <row r="121" spans="1:3">
      <c r="A121" s="1" t="s">
        <v>275</v>
      </c>
      <c r="B121" s="18">
        <f>INT((B22/B24)-1)</f>
        <v>9</v>
      </c>
    </row>
    <row r="122" spans="1:3">
      <c r="A122" s="15" t="s">
        <v>274</v>
      </c>
      <c r="B122" s="18">
        <f>(B118+B119+(B121*B120))*((B239)^2)/(2*(9.81))</f>
        <v>0.13867295647517983</v>
      </c>
      <c r="C122" t="s">
        <v>24</v>
      </c>
    </row>
    <row r="123" spans="1:3">
      <c r="A123" s="15" t="s">
        <v>276</v>
      </c>
      <c r="B123" s="18">
        <f>B122*B23</f>
        <v>4.4375346072057544</v>
      </c>
      <c r="C123" t="s">
        <v>24</v>
      </c>
    </row>
    <row r="124" spans="1:3">
      <c r="A124" s="15" t="s">
        <v>278</v>
      </c>
      <c r="B124" s="18">
        <f>B112+B116+B123</f>
        <v>23.402780803921619</v>
      </c>
      <c r="C124" t="s">
        <v>24</v>
      </c>
    </row>
    <row r="125" spans="1:3">
      <c r="A125" s="50" t="s">
        <v>277</v>
      </c>
      <c r="B125" s="20">
        <f>B31*9.81*B124</f>
        <v>1499.7545175444127</v>
      </c>
      <c r="C125" t="s">
        <v>66</v>
      </c>
    </row>
    <row r="126" spans="1:3">
      <c r="A126" s="15" t="s">
        <v>279</v>
      </c>
      <c r="B126" s="18">
        <f>(B32/(3.785411784*10^-3))*60</f>
        <v>93.366328464940423</v>
      </c>
      <c r="C126" t="s">
        <v>280</v>
      </c>
    </row>
    <row r="127" spans="1:3">
      <c r="A127" s="1" t="s">
        <v>281</v>
      </c>
      <c r="B127" s="18">
        <f>B124/(3.048*10^-1)</f>
        <v>76.780776915753336</v>
      </c>
      <c r="C127" t="s">
        <v>282</v>
      </c>
    </row>
    <row r="128" spans="1:3">
      <c r="A128" s="30"/>
      <c r="B128" s="31"/>
      <c r="C128" s="31"/>
    </row>
    <row r="129" spans="1:4">
      <c r="A129" s="52" t="s">
        <v>284</v>
      </c>
      <c r="B129" s="18"/>
    </row>
    <row r="130" spans="1:4">
      <c r="A130" s="40"/>
      <c r="B130" s="18"/>
      <c r="C130" s="18"/>
      <c r="D130" s="3"/>
    </row>
    <row r="131" spans="1:4">
      <c r="A131" s="59" t="s">
        <v>304</v>
      </c>
      <c r="B131" s="60">
        <v>265</v>
      </c>
      <c r="C131" s="60" t="s">
        <v>48</v>
      </c>
      <c r="D131" s="3"/>
    </row>
    <row r="132" spans="1:4" hidden="1">
      <c r="A132" s="61"/>
      <c r="B132" s="60"/>
      <c r="C132" s="60"/>
      <c r="D132" s="3"/>
    </row>
    <row r="133" spans="1:4">
      <c r="A133" s="61" t="s">
        <v>285</v>
      </c>
      <c r="B133" s="60">
        <f>B20</f>
        <v>0.05</v>
      </c>
      <c r="C133" s="60" t="s">
        <v>24</v>
      </c>
    </row>
    <row r="134" spans="1:4" hidden="1">
      <c r="A134" s="61"/>
      <c r="B134" s="60"/>
      <c r="C134" s="60"/>
    </row>
    <row r="135" spans="1:4">
      <c r="A135" s="61" t="s">
        <v>286</v>
      </c>
      <c r="B135" s="60">
        <f>B15</f>
        <v>3</v>
      </c>
      <c r="C135" s="60" t="s">
        <v>23</v>
      </c>
    </row>
    <row r="136" spans="1:4">
      <c r="A136" s="61" t="s">
        <v>287</v>
      </c>
      <c r="B136" s="60">
        <f>((B11*1000)/(12*3600))</f>
        <v>10550.56</v>
      </c>
      <c r="C136" s="60" t="s">
        <v>66</v>
      </c>
    </row>
    <row r="137" spans="1:4">
      <c r="A137" s="61" t="s">
        <v>254</v>
      </c>
      <c r="B137" s="60">
        <f>20+273</f>
        <v>293</v>
      </c>
      <c r="C137" s="60" t="s">
        <v>48</v>
      </c>
    </row>
    <row r="138" spans="1:4">
      <c r="A138" s="61" t="s">
        <v>288</v>
      </c>
      <c r="B138" s="60">
        <f>B160</f>
        <v>2</v>
      </c>
      <c r="C138" s="60" t="s">
        <v>23</v>
      </c>
    </row>
    <row r="139" spans="1:4">
      <c r="A139" s="61" t="s">
        <v>305</v>
      </c>
      <c r="B139" s="60">
        <f>(Properties!J3)*'Storage Tank'!B135*((3.1416*(('Storage Tank'!B133)^2))/4)</f>
        <v>6.5325645000000012</v>
      </c>
      <c r="C139" s="60" t="s">
        <v>28</v>
      </c>
    </row>
    <row r="140" spans="1:4" hidden="1">
      <c r="A140" s="61"/>
      <c r="B140" s="60"/>
      <c r="C140" s="60"/>
    </row>
    <row r="141" spans="1:4" hidden="1">
      <c r="A141" s="61"/>
      <c r="B141" s="60"/>
      <c r="C141" s="60"/>
    </row>
    <row r="142" spans="1:4" hidden="1">
      <c r="A142" s="61"/>
      <c r="B142" s="60"/>
      <c r="C142" s="62"/>
    </row>
    <row r="143" spans="1:4">
      <c r="A143" s="63" t="s">
        <v>301</v>
      </c>
      <c r="B143" s="60"/>
      <c r="C143" s="62"/>
    </row>
    <row r="144" spans="1:4">
      <c r="A144" s="61" t="s">
        <v>289</v>
      </c>
      <c r="B144" s="60">
        <f>B135*B133*(Properties!J3/Properties!J4)</f>
        <v>7799.2404707206151</v>
      </c>
      <c r="C144" s="62"/>
    </row>
    <row r="145" spans="1:3">
      <c r="A145" s="61" t="s">
        <v>302</v>
      </c>
      <c r="B145" s="60">
        <f>IF(B144&lt;2300,3.66,(((B107/8)*(B144-1000))*(Properties!J$5))/(1+(12.7*(('Storage Tank'!B107/8)^0.5)*((Properties!J$5)^(2/3)-1))))</f>
        <v>291.60597534363808</v>
      </c>
      <c r="C145" s="62"/>
    </row>
    <row r="146" spans="1:3">
      <c r="A146" s="61" t="s">
        <v>303</v>
      </c>
      <c r="B146" s="60">
        <f>(Properties!J6/'Storage Tank'!B133)*'Storage Tank'!B145</f>
        <v>1411.3729206632083</v>
      </c>
      <c r="C146" s="62" t="s">
        <v>300</v>
      </c>
    </row>
    <row r="147" spans="1:3" hidden="1">
      <c r="A147" s="1"/>
      <c r="B147" s="18"/>
      <c r="C147" s="17"/>
    </row>
    <row r="148" spans="1:3" hidden="1">
      <c r="A148" s="1"/>
      <c r="B148" s="18"/>
      <c r="C148" s="17"/>
    </row>
    <row r="149" spans="1:3" hidden="1">
      <c r="A149" s="1"/>
      <c r="B149" s="18"/>
      <c r="C149" s="17"/>
    </row>
    <row r="150" spans="1:3" hidden="1">
      <c r="A150" s="1"/>
      <c r="B150" s="18"/>
      <c r="C150" s="17"/>
    </row>
    <row r="151" spans="1:3" hidden="1">
      <c r="A151" s="1"/>
      <c r="B151" s="18"/>
      <c r="C151" s="17"/>
    </row>
    <row r="152" spans="1:3" hidden="1">
      <c r="A152" s="37"/>
      <c r="B152" s="38"/>
      <c r="C152" s="53"/>
    </row>
    <row r="153" spans="1:3">
      <c r="A153" s="40"/>
      <c r="B153" s="18"/>
      <c r="C153" s="33"/>
    </row>
    <row r="154" spans="1:3">
      <c r="A154" s="54" t="s">
        <v>323</v>
      </c>
      <c r="B154" s="24"/>
      <c r="C154" s="55"/>
    </row>
    <row r="155" spans="1:3">
      <c r="A155" s="54" t="s">
        <v>306</v>
      </c>
      <c r="B155" s="24"/>
      <c r="C155" s="55"/>
    </row>
    <row r="156" spans="1:3">
      <c r="A156" s="54" t="s">
        <v>283</v>
      </c>
      <c r="B156" s="24"/>
      <c r="C156" s="55"/>
    </row>
    <row r="157" spans="1:3">
      <c r="A157" s="56" t="s">
        <v>305</v>
      </c>
      <c r="B157" s="24">
        <f>B139</f>
        <v>6.5325645000000012</v>
      </c>
      <c r="C157" s="55" t="s">
        <v>28</v>
      </c>
    </row>
    <row r="158" spans="1:3">
      <c r="A158" s="57" t="s">
        <v>316</v>
      </c>
      <c r="B158" s="24">
        <f>1.7</f>
        <v>1.7</v>
      </c>
      <c r="C158" s="55" t="s">
        <v>24</v>
      </c>
    </row>
    <row r="159" spans="1:3">
      <c r="A159" s="56" t="s">
        <v>312</v>
      </c>
      <c r="B159" s="24">
        <f>B158^2</f>
        <v>2.8899999999999997</v>
      </c>
      <c r="C159" s="55" t="s">
        <v>25</v>
      </c>
    </row>
    <row r="160" spans="1:3">
      <c r="A160" s="23" t="s">
        <v>288</v>
      </c>
      <c r="B160" s="24">
        <v>2</v>
      </c>
      <c r="C160" s="55" t="s">
        <v>23</v>
      </c>
    </row>
    <row r="161" spans="1:3">
      <c r="A161" s="23" t="s">
        <v>307</v>
      </c>
      <c r="B161" s="24">
        <f>B159*B160*Properties!N2</f>
        <v>6.9591199999999986</v>
      </c>
      <c r="C161" s="55" t="s">
        <v>28</v>
      </c>
    </row>
    <row r="162" spans="1:3">
      <c r="A162" s="23" t="s">
        <v>308</v>
      </c>
      <c r="B162" s="24">
        <f>Properties!J2*'Storage Tank'!B157</f>
        <v>14985.702963000003</v>
      </c>
      <c r="C162" s="55"/>
    </row>
    <row r="163" spans="1:3">
      <c r="A163" s="23" t="s">
        <v>309</v>
      </c>
      <c r="B163" s="24">
        <f>B161*Properties!N6</f>
        <v>7007.8338399999984</v>
      </c>
      <c r="C163" s="55"/>
    </row>
    <row r="164" spans="1:3">
      <c r="A164" s="23" t="s">
        <v>310</v>
      </c>
      <c r="B164" s="24">
        <f>IF(B163&lt;B162,(B163/B162),B162/B163)</f>
        <v>0.46763464198526278</v>
      </c>
      <c r="C164" s="55"/>
    </row>
    <row r="165" spans="1:3">
      <c r="A165" s="23" t="s">
        <v>313</v>
      </c>
      <c r="B165" s="24">
        <f>B163*(B137-B131)</f>
        <v>196219.34751999995</v>
      </c>
      <c r="C165" s="55" t="s">
        <v>66</v>
      </c>
    </row>
    <row r="166" spans="1:3">
      <c r="A166" s="23" t="s">
        <v>314</v>
      </c>
      <c r="B166" s="24">
        <f>B136/B165</f>
        <v>5.3769213552830805E-2</v>
      </c>
      <c r="C166" s="55"/>
    </row>
    <row r="167" spans="1:3">
      <c r="A167" s="23" t="s">
        <v>315</v>
      </c>
      <c r="B167" s="24">
        <f>((4*(B159))/(4*B160))</f>
        <v>1.4449999999999998</v>
      </c>
      <c r="C167" s="55"/>
    </row>
    <row r="168" spans="1:3">
      <c r="A168" s="23" t="s">
        <v>311</v>
      </c>
      <c r="B168" s="24">
        <f>(('Storage Tank'!B160)*B167)/(Properties!N4)</f>
        <v>190633.24538258574</v>
      </c>
      <c r="C168" s="55"/>
    </row>
    <row r="169" spans="1:3">
      <c r="A169" s="23" t="s">
        <v>299</v>
      </c>
      <c r="B169" s="24">
        <f>(0.3+((0.62*((B168)^0.5)*(Properties!N3))/((1+(0.4/Properties!N3)^(2/3))^(1/4)))*((1+(('Storage Tank'!B168/282000)^(5/8)))^(4/5)))</f>
        <v>276.76270335222358</v>
      </c>
      <c r="C169" s="55"/>
    </row>
    <row r="170" spans="1:3">
      <c r="A170" s="23" t="s">
        <v>317</v>
      </c>
      <c r="B170" s="24">
        <f>(Properties!N5/'Storage Tank'!B133)*'Storage Tank'!B169</f>
        <v>139.15628724549799</v>
      </c>
      <c r="C170" s="55"/>
    </row>
    <row r="171" spans="1:3">
      <c r="A171" s="23" t="s">
        <v>318</v>
      </c>
      <c r="B171" s="24">
        <f>(-LN(B164*LN(1-B166)+1)/B164)</f>
        <v>5.5995556658514238E-2</v>
      </c>
      <c r="C171" s="55"/>
    </row>
    <row r="172" spans="1:3">
      <c r="A172" s="56" t="s">
        <v>319</v>
      </c>
      <c r="B172" s="24">
        <f>(B171*B163)/B170</f>
        <v>2.8199053352788308</v>
      </c>
      <c r="C172" s="55" t="s">
        <v>25</v>
      </c>
    </row>
    <row r="173" spans="1:3">
      <c r="A173" s="56" t="s">
        <v>320</v>
      </c>
      <c r="B173" s="58">
        <f>B172/(3.1416*B133)</f>
        <v>17.952032946771268</v>
      </c>
      <c r="C173" s="55" t="s">
        <v>24</v>
      </c>
    </row>
    <row r="174" spans="1:3">
      <c r="A174" s="57" t="s">
        <v>322</v>
      </c>
      <c r="B174" s="24">
        <f>B131+(B175/B162)</f>
        <v>265.70404171402902</v>
      </c>
      <c r="C174" s="55" t="s">
        <v>48</v>
      </c>
    </row>
    <row r="175" spans="1:3">
      <c r="A175" s="56" t="s">
        <v>321</v>
      </c>
      <c r="B175" s="24">
        <f>B166*B165</f>
        <v>10550.56</v>
      </c>
      <c r="C175" s="55" t="s">
        <v>66</v>
      </c>
    </row>
    <row r="176" spans="1:3">
      <c r="A176" s="57" t="s">
        <v>324</v>
      </c>
      <c r="B176" s="24">
        <f>B173/B158</f>
        <v>10.560019380453687</v>
      </c>
      <c r="C176" s="55"/>
    </row>
    <row r="177" spans="1:3">
      <c r="A177" s="23" t="s">
        <v>325</v>
      </c>
      <c r="B177" s="24">
        <f>(B158/(B176/2))-0.05</f>
        <v>0.27196910606937985</v>
      </c>
      <c r="C177" s="55" t="s">
        <v>24</v>
      </c>
    </row>
    <row r="178" spans="1:3" s="18" customFormat="1">
      <c r="A178" s="40"/>
      <c r="C178" s="33"/>
    </row>
    <row r="179" spans="1:3" s="18" customFormat="1">
      <c r="A179" s="42" t="s">
        <v>326</v>
      </c>
      <c r="C179" s="33"/>
    </row>
    <row r="180" spans="1:3" s="18" customFormat="1">
      <c r="A180" s="40" t="s">
        <v>327</v>
      </c>
      <c r="B180" s="18">
        <f>B107</f>
        <v>3.3023575882961571E-2</v>
      </c>
      <c r="C180" s="33"/>
    </row>
    <row r="181" spans="1:3" s="18" customFormat="1">
      <c r="A181" s="40" t="s">
        <v>328</v>
      </c>
      <c r="B181" s="18">
        <f>(((B180)*(B173))/(B133))*(((B135)^2)/(2*9.81))</f>
        <v>5.4389020391846525</v>
      </c>
      <c r="C181" s="33" t="s">
        <v>24</v>
      </c>
    </row>
    <row r="182" spans="1:3" s="18" customFormat="1">
      <c r="A182" s="42" t="s">
        <v>329</v>
      </c>
      <c r="C182" s="33"/>
    </row>
    <row r="183" spans="1:3" s="18" customFormat="1">
      <c r="A183" s="40" t="s">
        <v>330</v>
      </c>
      <c r="B183" s="18">
        <f>INT(B176)</f>
        <v>10</v>
      </c>
      <c r="C183" s="33"/>
    </row>
    <row r="184" spans="1:3" s="18" customFormat="1">
      <c r="A184" s="40" t="s">
        <v>331</v>
      </c>
      <c r="B184" s="18">
        <v>0.3</v>
      </c>
      <c r="C184" s="33"/>
    </row>
    <row r="185" spans="1:3" s="18" customFormat="1">
      <c r="A185" s="40" t="s">
        <v>332</v>
      </c>
      <c r="B185" s="18">
        <v>0.05</v>
      </c>
      <c r="C185" s="33"/>
    </row>
    <row r="186" spans="1:3" s="18" customFormat="1">
      <c r="A186" s="41" t="s">
        <v>333</v>
      </c>
      <c r="B186" s="18">
        <f>((B183*B184)+(2*B185))*((B135^2)/(2*9.81))</f>
        <v>1.4220183486238531</v>
      </c>
      <c r="C186" s="33" t="s">
        <v>24</v>
      </c>
    </row>
    <row r="187" spans="1:3" s="18" customFormat="1">
      <c r="A187" s="40" t="s">
        <v>334</v>
      </c>
      <c r="B187" s="18">
        <f>B181+B186</f>
        <v>6.8609203878085054</v>
      </c>
      <c r="C187" s="33" t="s">
        <v>24</v>
      </c>
    </row>
    <row r="188" spans="1:3" s="18" customFormat="1">
      <c r="A188" s="64" t="s">
        <v>335</v>
      </c>
      <c r="B188" s="20">
        <f>B157*(9.81)*(B187)</f>
        <v>439.67836268432325</v>
      </c>
      <c r="C188" s="65" t="s">
        <v>66</v>
      </c>
    </row>
    <row r="189" spans="1:3" s="18" customFormat="1">
      <c r="A189" s="41"/>
      <c r="C189" s="33"/>
    </row>
    <row r="190" spans="1:3" s="18" customFormat="1">
      <c r="A190" s="66" t="s">
        <v>336</v>
      </c>
      <c r="B190" s="67">
        <f>B10+B29</f>
        <v>1.6776711139736864</v>
      </c>
      <c r="C190" s="65" t="s">
        <v>20</v>
      </c>
    </row>
    <row r="191" spans="1:3" s="18" customFormat="1">
      <c r="A191" s="66" t="s">
        <v>339</v>
      </c>
      <c r="B191" s="20">
        <f>B21*B23+(0.05*B23)</f>
        <v>2.3680000000000003</v>
      </c>
      <c r="C191" s="65" t="s">
        <v>24</v>
      </c>
    </row>
    <row r="192" spans="1:3" s="18" customFormat="1">
      <c r="A192" s="66" t="s">
        <v>340</v>
      </c>
      <c r="B192" s="20">
        <f>B190/(B191*B193)</f>
        <v>0.59039664765402811</v>
      </c>
      <c r="C192" s="65" t="s">
        <v>24</v>
      </c>
    </row>
    <row r="193" spans="1:3" s="18" customFormat="1">
      <c r="A193" s="66" t="s">
        <v>270</v>
      </c>
      <c r="B193" s="20">
        <f>B24</f>
        <v>1.2</v>
      </c>
      <c r="C193" s="65" t="s">
        <v>24</v>
      </c>
    </row>
    <row r="194" spans="1:3" s="18" customFormat="1">
      <c r="A194" s="66" t="s">
        <v>341</v>
      </c>
      <c r="B194" s="20">
        <f>B192/(B22/B24)</f>
        <v>5.4498152091141054E-2</v>
      </c>
      <c r="C194" s="65"/>
    </row>
    <row r="195" spans="1:3" s="18" customFormat="1">
      <c r="A195" s="41"/>
      <c r="C195" s="33"/>
    </row>
    <row r="196" spans="1:3" s="18" customFormat="1">
      <c r="A196" s="44" t="s">
        <v>342</v>
      </c>
      <c r="C196" s="33"/>
    </row>
    <row r="197" spans="1:3" s="18" customFormat="1">
      <c r="A197" s="43" t="s">
        <v>343</v>
      </c>
      <c r="B197" s="18">
        <f>(2*B193*B191)+(2*B192*B191)+(2*B193*B192)</f>
        <v>9.8962704776591455</v>
      </c>
      <c r="C197" s="33" t="s">
        <v>25</v>
      </c>
    </row>
    <row r="198" spans="1:3" s="18" customFormat="1">
      <c r="A198" s="41" t="s">
        <v>349</v>
      </c>
      <c r="B198" s="18">
        <v>0.02</v>
      </c>
      <c r="C198" s="33" t="s">
        <v>24</v>
      </c>
    </row>
    <row r="199" spans="1:3" s="18" customFormat="1">
      <c r="A199" s="41" t="s">
        <v>350</v>
      </c>
      <c r="B199" s="18">
        <v>0.2</v>
      </c>
      <c r="C199" s="33" t="s">
        <v>24</v>
      </c>
    </row>
    <row r="200" spans="1:3" s="18" customFormat="1">
      <c r="A200" s="43" t="s">
        <v>357</v>
      </c>
      <c r="B200" s="18">
        <v>0.3</v>
      </c>
      <c r="C200" s="33" t="s">
        <v>24</v>
      </c>
    </row>
    <row r="201" spans="1:3" s="18" customFormat="1">
      <c r="A201" s="43" t="s">
        <v>344</v>
      </c>
      <c r="B201" s="18">
        <f>(B198)/(B204*B197)+((B199)/((B205)*(B197)))+((B200)/(B206*B197))</f>
        <v>127.70636405069003</v>
      </c>
      <c r="C201" s="33"/>
    </row>
    <row r="202" spans="1:3" s="18" customFormat="1">
      <c r="A202" s="43" t="s">
        <v>345</v>
      </c>
      <c r="B202" s="18">
        <f>(20)/B201</f>
        <v>0.15660926648934639</v>
      </c>
      <c r="C202" s="33" t="s">
        <v>66</v>
      </c>
    </row>
    <row r="203" spans="1:3" s="18" customFormat="1">
      <c r="A203" s="68" t="s">
        <v>351</v>
      </c>
      <c r="C203" s="33"/>
    </row>
    <row r="204" spans="1:3" s="18" customFormat="1">
      <c r="A204" s="41" t="s">
        <v>348</v>
      </c>
      <c r="B204" s="18">
        <v>1.7E-5</v>
      </c>
      <c r="C204" s="33" t="s">
        <v>346</v>
      </c>
    </row>
    <row r="205" spans="1:3" s="18" customFormat="1">
      <c r="A205" s="43" t="s">
        <v>347</v>
      </c>
      <c r="B205" s="18">
        <v>2.3E-3</v>
      </c>
      <c r="C205" s="33" t="s">
        <v>346</v>
      </c>
    </row>
    <row r="206" spans="1:3" s="18" customFormat="1">
      <c r="A206" s="43" t="s">
        <v>358</v>
      </c>
      <c r="B206" s="18">
        <v>0.77</v>
      </c>
      <c r="C206" s="33" t="s">
        <v>346</v>
      </c>
    </row>
    <row r="207" spans="1:3" s="18" customFormat="1">
      <c r="A207" s="43"/>
      <c r="C207" s="33"/>
    </row>
    <row r="208" spans="1:3" s="18" customFormat="1">
      <c r="A208" s="44" t="s">
        <v>352</v>
      </c>
      <c r="C208" s="33"/>
    </row>
    <row r="209" spans="1:5" s="18" customFormat="1">
      <c r="A209" s="41" t="s">
        <v>353</v>
      </c>
      <c r="C209" s="33"/>
    </row>
    <row r="210" spans="1:5" s="18" customFormat="1">
      <c r="A210" s="43" t="s">
        <v>354</v>
      </c>
      <c r="B210" s="18">
        <f>B22*B23</f>
        <v>416</v>
      </c>
      <c r="C210" s="33" t="s">
        <v>24</v>
      </c>
      <c r="D210" s="32" t="s">
        <v>365</v>
      </c>
      <c r="E210" s="18">
        <f>B210*B217</f>
        <v>3440.3199999999997</v>
      </c>
    </row>
    <row r="211" spans="1:5" s="18" customFormat="1">
      <c r="A211" s="43" t="s">
        <v>355</v>
      </c>
      <c r="B211" s="18">
        <f>B108+B173</f>
        <v>19.152032946771268</v>
      </c>
      <c r="C211" s="33" t="s">
        <v>24</v>
      </c>
      <c r="D211" s="18" t="s">
        <v>366</v>
      </c>
      <c r="E211" s="18">
        <f>B211*B218</f>
        <v>344.73659304188283</v>
      </c>
    </row>
    <row r="212" spans="1:5" s="18" customFormat="1">
      <c r="A212" s="43" t="s">
        <v>356</v>
      </c>
      <c r="B212" s="18">
        <v>0.05</v>
      </c>
      <c r="C212" s="33" t="s">
        <v>24</v>
      </c>
      <c r="D212" s="18" t="s">
        <v>376</v>
      </c>
      <c r="E212" s="20">
        <f>E210+E211+B219+B220+B221+B223+B222+B224</f>
        <v>5110.0565930418825</v>
      </c>
    </row>
    <row r="213" spans="1:5" s="18" customFormat="1">
      <c r="A213" s="43" t="s">
        <v>359</v>
      </c>
      <c r="B213" s="18">
        <v>0.1</v>
      </c>
      <c r="C213" s="33" t="s">
        <v>24</v>
      </c>
    </row>
    <row r="214" spans="1:5" s="18" customFormat="1">
      <c r="A214" s="43" t="s">
        <v>362</v>
      </c>
      <c r="B214" s="18">
        <f>B197*B198</f>
        <v>0.19792540955318291</v>
      </c>
      <c r="C214" s="33" t="s">
        <v>20</v>
      </c>
      <c r="D214" s="18" t="s">
        <v>385</v>
      </c>
      <c r="E214" s="18">
        <v>3200</v>
      </c>
    </row>
    <row r="215" spans="1:5" s="18" customFormat="1">
      <c r="A215" s="43" t="s">
        <v>363</v>
      </c>
      <c r="B215" s="18">
        <f>B197*B199</f>
        <v>1.9792540955318292</v>
      </c>
      <c r="C215" s="33" t="s">
        <v>360</v>
      </c>
      <c r="D215" s="18" t="s">
        <v>389</v>
      </c>
      <c r="E215" s="18">
        <f>E212-E214</f>
        <v>1910.0565930418825</v>
      </c>
    </row>
    <row r="216" spans="1:5" s="18" customFormat="1">
      <c r="A216" s="41" t="s">
        <v>367</v>
      </c>
      <c r="B216" s="18">
        <f>B197*B200</f>
        <v>2.9688811432977436</v>
      </c>
      <c r="C216" s="33" t="s">
        <v>361</v>
      </c>
    </row>
    <row r="217" spans="1:5" s="18" customFormat="1">
      <c r="A217" s="43" t="s">
        <v>368</v>
      </c>
      <c r="B217" s="69">
        <v>8.27</v>
      </c>
      <c r="C217" s="33" t="s">
        <v>364</v>
      </c>
    </row>
    <row r="218" spans="1:5" s="18" customFormat="1">
      <c r="A218" s="43" t="s">
        <v>369</v>
      </c>
      <c r="B218" s="18">
        <v>18</v>
      </c>
      <c r="C218" s="33" t="s">
        <v>364</v>
      </c>
    </row>
    <row r="219" spans="1:5" s="18" customFormat="1">
      <c r="A219" s="43" t="s">
        <v>371</v>
      </c>
      <c r="B219" s="18">
        <v>350</v>
      </c>
      <c r="C219" s="33" t="s">
        <v>370</v>
      </c>
    </row>
    <row r="220" spans="1:5" s="18" customFormat="1">
      <c r="A220" s="43" t="s">
        <v>372</v>
      </c>
      <c r="B220" s="18">
        <v>75</v>
      </c>
      <c r="C220" s="33" t="s">
        <v>370</v>
      </c>
    </row>
    <row r="221" spans="1:5" s="18" customFormat="1">
      <c r="A221" s="43" t="s">
        <v>375</v>
      </c>
      <c r="B221" s="18">
        <v>100</v>
      </c>
      <c r="C221" s="33" t="s">
        <v>370</v>
      </c>
    </row>
    <row r="222" spans="1:5" s="18" customFormat="1">
      <c r="A222" s="43" t="s">
        <v>373</v>
      </c>
      <c r="B222" s="18">
        <v>300</v>
      </c>
      <c r="C222" s="33" t="s">
        <v>370</v>
      </c>
    </row>
    <row r="223" spans="1:5" s="18" customFormat="1">
      <c r="A223" s="43" t="s">
        <v>374</v>
      </c>
      <c r="B223" s="18">
        <v>200</v>
      </c>
      <c r="C223" s="33" t="s">
        <v>370</v>
      </c>
    </row>
    <row r="224" spans="1:5" s="18" customFormat="1">
      <c r="A224" s="43"/>
      <c r="B224" s="18">
        <v>300</v>
      </c>
      <c r="C224" s="33" t="s">
        <v>370</v>
      </c>
    </row>
    <row r="225" spans="1:3" s="18" customFormat="1">
      <c r="A225" s="44" t="s">
        <v>377</v>
      </c>
      <c r="C225" s="33"/>
    </row>
    <row r="226" spans="1:3" s="18" customFormat="1">
      <c r="A226" s="43"/>
      <c r="C226" s="33"/>
    </row>
    <row r="227" spans="1:3" s="18" customFormat="1">
      <c r="A227" s="43" t="s">
        <v>381</v>
      </c>
      <c r="C227" s="33"/>
    </row>
    <row r="228" spans="1:3" s="18" customFormat="1">
      <c r="A228" s="43" t="s">
        <v>382</v>
      </c>
      <c r="B228" s="18">
        <v>0.21</v>
      </c>
      <c r="C228" s="33" t="s">
        <v>388</v>
      </c>
    </row>
    <row r="229" spans="1:3" s="18" customFormat="1">
      <c r="A229" s="43" t="s">
        <v>383</v>
      </c>
      <c r="B229" s="18">
        <v>6.8000000000000005E-2</v>
      </c>
      <c r="C229" s="32" t="s">
        <v>388</v>
      </c>
    </row>
    <row r="230" spans="1:3" s="18" customFormat="1">
      <c r="A230" s="43" t="s">
        <v>378</v>
      </c>
      <c r="B230" s="47">
        <v>20</v>
      </c>
      <c r="C230" s="33" t="s">
        <v>384</v>
      </c>
    </row>
    <row r="231" spans="1:3" s="18" customFormat="1">
      <c r="A231" s="43" t="s">
        <v>380</v>
      </c>
      <c r="B231" s="20">
        <f>B230*B228*7*4*6</f>
        <v>705.6</v>
      </c>
      <c r="C231" s="33" t="s">
        <v>379</v>
      </c>
    </row>
    <row r="232" spans="1:3" s="18" customFormat="1">
      <c r="A232" s="43" t="s">
        <v>386</v>
      </c>
      <c r="B232" s="20">
        <f>(B233*B229)*7*4*6</f>
        <v>335.57591314854602</v>
      </c>
      <c r="C232" s="33" t="s">
        <v>379</v>
      </c>
    </row>
    <row r="233" spans="1:3" s="18" customFormat="1">
      <c r="A233" s="43" t="s">
        <v>389</v>
      </c>
      <c r="B233" s="18">
        <f>(B188+B125+B103)/1000</f>
        <v>29.374642257400733</v>
      </c>
      <c r="C233" s="33" t="s">
        <v>387</v>
      </c>
    </row>
    <row r="234" spans="1:3" s="18" customFormat="1">
      <c r="A234" s="43" t="s">
        <v>390</v>
      </c>
      <c r="B234" s="18">
        <f>B231-B232</f>
        <v>370.024086851454</v>
      </c>
      <c r="C234" s="33"/>
    </row>
    <row r="235" spans="1:3" s="18" customFormat="1">
      <c r="A235" s="43"/>
      <c r="B235" s="20">
        <f>E215/B234</f>
        <v>5.1619790735641322</v>
      </c>
      <c r="C235" s="33" t="s">
        <v>391</v>
      </c>
    </row>
    <row r="236" spans="1:3" s="18" customFormat="1">
      <c r="A236" s="43"/>
      <c r="C236" s="33"/>
    </row>
    <row r="237" spans="1:3" s="18" customFormat="1">
      <c r="A237"/>
      <c r="C237" s="33"/>
    </row>
    <row r="238" spans="1:3">
      <c r="A238" s="28" t="s">
        <v>68</v>
      </c>
    </row>
    <row r="239" spans="1:3">
      <c r="A239" s="28" t="s">
        <v>69</v>
      </c>
      <c r="B239" s="28">
        <f>B255/B$27</f>
        <v>0.40690104166666674</v>
      </c>
      <c r="C239" s="28" t="s">
        <v>23</v>
      </c>
    </row>
    <row r="240" spans="1:3">
      <c r="A240" s="28" t="s">
        <v>71</v>
      </c>
      <c r="B240" s="28">
        <f t="shared" ref="B240:B254" si="3">B256/B$27</f>
        <v>0.40690104166666674</v>
      </c>
      <c r="C240" s="28" t="s">
        <v>23</v>
      </c>
    </row>
    <row r="241" spans="1:3">
      <c r="A241" s="28" t="s">
        <v>70</v>
      </c>
      <c r="B241" s="28">
        <f t="shared" si="3"/>
        <v>0.40690104166666674</v>
      </c>
      <c r="C241" s="28" t="s">
        <v>23</v>
      </c>
    </row>
    <row r="242" spans="1:3">
      <c r="A242" s="28" t="s">
        <v>72</v>
      </c>
      <c r="B242" s="28">
        <f t="shared" si="3"/>
        <v>0.40690104166666674</v>
      </c>
      <c r="C242" s="28" t="s">
        <v>23</v>
      </c>
    </row>
    <row r="243" spans="1:3">
      <c r="A243" s="28" t="s">
        <v>73</v>
      </c>
      <c r="B243" s="28">
        <f t="shared" si="3"/>
        <v>0.40690104166666674</v>
      </c>
      <c r="C243" s="28" t="s">
        <v>23</v>
      </c>
    </row>
    <row r="244" spans="1:3">
      <c r="A244" s="28" t="s">
        <v>74</v>
      </c>
      <c r="B244" s="28">
        <f t="shared" si="3"/>
        <v>0.40690104166666674</v>
      </c>
      <c r="C244" s="28" t="s">
        <v>23</v>
      </c>
    </row>
    <row r="245" spans="1:3">
      <c r="A245" s="28" t="s">
        <v>75</v>
      </c>
      <c r="B245" s="28">
        <f t="shared" si="3"/>
        <v>0.40690104166666674</v>
      </c>
      <c r="C245" s="28" t="s">
        <v>23</v>
      </c>
    </row>
    <row r="246" spans="1:3">
      <c r="A246" s="28" t="s">
        <v>76</v>
      </c>
      <c r="B246" s="28">
        <f t="shared" si="3"/>
        <v>0.40690104166666674</v>
      </c>
      <c r="C246" s="28" t="s">
        <v>23</v>
      </c>
    </row>
    <row r="247" spans="1:3">
      <c r="A247" s="28" t="s">
        <v>77</v>
      </c>
      <c r="B247" s="28">
        <f t="shared" si="3"/>
        <v>0.40690104166666674</v>
      </c>
      <c r="C247" s="28" t="s">
        <v>23</v>
      </c>
    </row>
    <row r="248" spans="1:3">
      <c r="A248" s="28" t="s">
        <v>78</v>
      </c>
      <c r="B248" s="28">
        <f t="shared" si="3"/>
        <v>0.40690104166666674</v>
      </c>
      <c r="C248" s="28" t="s">
        <v>23</v>
      </c>
    </row>
    <row r="249" spans="1:3">
      <c r="A249" s="28" t="s">
        <v>79</v>
      </c>
      <c r="B249" s="28">
        <f t="shared" si="3"/>
        <v>0.40690104166666674</v>
      </c>
      <c r="C249" s="28" t="s">
        <v>23</v>
      </c>
    </row>
    <row r="250" spans="1:3">
      <c r="A250" s="28" t="s">
        <v>80</v>
      </c>
      <c r="B250" s="28">
        <f t="shared" si="3"/>
        <v>0.40690104166666674</v>
      </c>
      <c r="C250" s="28" t="s">
        <v>23</v>
      </c>
    </row>
    <row r="251" spans="1:3">
      <c r="A251" s="28" t="s">
        <v>81</v>
      </c>
      <c r="B251" s="28">
        <f t="shared" si="3"/>
        <v>0.40690104166666674</v>
      </c>
      <c r="C251" s="28" t="s">
        <v>23</v>
      </c>
    </row>
    <row r="252" spans="1:3">
      <c r="A252" s="28" t="s">
        <v>82</v>
      </c>
      <c r="B252" s="28">
        <f t="shared" si="3"/>
        <v>0.40690104166666674</v>
      </c>
      <c r="C252" s="28" t="s">
        <v>23</v>
      </c>
    </row>
    <row r="253" spans="1:3">
      <c r="A253" s="28" t="s">
        <v>83</v>
      </c>
      <c r="B253" s="28">
        <f t="shared" si="3"/>
        <v>0.40690104166666674</v>
      </c>
      <c r="C253" s="28" t="s">
        <v>23</v>
      </c>
    </row>
    <row r="254" spans="1:3">
      <c r="A254" s="28" t="s">
        <v>101</v>
      </c>
      <c r="B254" s="28">
        <f t="shared" si="3"/>
        <v>0.40690104166666674</v>
      </c>
      <c r="C254" s="28" t="s">
        <v>23</v>
      </c>
    </row>
    <row r="255" spans="1:3">
      <c r="A255" s="28" t="s">
        <v>102</v>
      </c>
      <c r="B255" s="28">
        <f>B$32/B$23</f>
        <v>1.8407812500000005E-4</v>
      </c>
      <c r="C255" s="28" t="s">
        <v>29</v>
      </c>
    </row>
    <row r="256" spans="1:3">
      <c r="A256" s="28" t="s">
        <v>103</v>
      </c>
      <c r="B256" s="28">
        <f t="shared" ref="B256:B270" si="4">B$32/B$23</f>
        <v>1.8407812500000005E-4</v>
      </c>
      <c r="C256" s="28" t="s">
        <v>29</v>
      </c>
    </row>
    <row r="257" spans="1:3">
      <c r="A257" s="28" t="s">
        <v>104</v>
      </c>
      <c r="B257" s="28">
        <f t="shared" si="4"/>
        <v>1.8407812500000005E-4</v>
      </c>
      <c r="C257" s="28" t="s">
        <v>29</v>
      </c>
    </row>
    <row r="258" spans="1:3">
      <c r="A258" s="28" t="s">
        <v>105</v>
      </c>
      <c r="B258" s="28">
        <f t="shared" si="4"/>
        <v>1.8407812500000005E-4</v>
      </c>
      <c r="C258" s="28" t="s">
        <v>29</v>
      </c>
    </row>
    <row r="259" spans="1:3">
      <c r="A259" s="28" t="s">
        <v>106</v>
      </c>
      <c r="B259" s="28">
        <f t="shared" si="4"/>
        <v>1.8407812500000005E-4</v>
      </c>
      <c r="C259" s="28" t="s">
        <v>29</v>
      </c>
    </row>
    <row r="260" spans="1:3">
      <c r="A260" s="28" t="s">
        <v>107</v>
      </c>
      <c r="B260" s="28">
        <f t="shared" si="4"/>
        <v>1.8407812500000005E-4</v>
      </c>
      <c r="C260" s="28" t="s">
        <v>29</v>
      </c>
    </row>
    <row r="261" spans="1:3">
      <c r="A261" s="28" t="s">
        <v>108</v>
      </c>
      <c r="B261" s="28">
        <f t="shared" si="4"/>
        <v>1.8407812500000005E-4</v>
      </c>
      <c r="C261" s="28" t="s">
        <v>29</v>
      </c>
    </row>
    <row r="262" spans="1:3">
      <c r="A262" s="28" t="s">
        <v>109</v>
      </c>
      <c r="B262" s="28">
        <f t="shared" si="4"/>
        <v>1.8407812500000005E-4</v>
      </c>
      <c r="C262" s="28" t="s">
        <v>29</v>
      </c>
    </row>
    <row r="263" spans="1:3">
      <c r="A263" s="28" t="s">
        <v>110</v>
      </c>
      <c r="B263" s="28">
        <f t="shared" si="4"/>
        <v>1.8407812500000005E-4</v>
      </c>
      <c r="C263" s="28" t="s">
        <v>29</v>
      </c>
    </row>
    <row r="264" spans="1:3">
      <c r="A264" s="28" t="s">
        <v>111</v>
      </c>
      <c r="B264" s="28">
        <f t="shared" si="4"/>
        <v>1.8407812500000005E-4</v>
      </c>
      <c r="C264" s="28" t="s">
        <v>29</v>
      </c>
    </row>
    <row r="265" spans="1:3">
      <c r="A265" s="28" t="s">
        <v>112</v>
      </c>
      <c r="B265" s="28">
        <f t="shared" si="4"/>
        <v>1.8407812500000005E-4</v>
      </c>
      <c r="C265" s="28" t="s">
        <v>29</v>
      </c>
    </row>
    <row r="266" spans="1:3">
      <c r="A266" s="28" t="s">
        <v>113</v>
      </c>
      <c r="B266" s="28">
        <f t="shared" si="4"/>
        <v>1.8407812500000005E-4</v>
      </c>
      <c r="C266" s="28" t="s">
        <v>29</v>
      </c>
    </row>
    <row r="267" spans="1:3">
      <c r="A267" s="28" t="s">
        <v>114</v>
      </c>
      <c r="B267" s="28">
        <f t="shared" si="4"/>
        <v>1.8407812500000005E-4</v>
      </c>
      <c r="C267" s="28" t="s">
        <v>29</v>
      </c>
    </row>
    <row r="268" spans="1:3">
      <c r="A268" s="28" t="s">
        <v>115</v>
      </c>
      <c r="B268" s="28">
        <f t="shared" si="4"/>
        <v>1.8407812500000005E-4</v>
      </c>
      <c r="C268" s="28" t="s">
        <v>29</v>
      </c>
    </row>
    <row r="269" spans="1:3">
      <c r="A269" s="28" t="s">
        <v>116</v>
      </c>
      <c r="B269" s="28">
        <f t="shared" si="4"/>
        <v>1.8407812500000005E-4</v>
      </c>
      <c r="C269" s="28" t="s">
        <v>29</v>
      </c>
    </row>
    <row r="270" spans="1:3">
      <c r="A270" s="28" t="s">
        <v>85</v>
      </c>
      <c r="B270" s="28">
        <f t="shared" si="4"/>
        <v>1.8407812500000005E-4</v>
      </c>
      <c r="C270" s="28" t="s">
        <v>29</v>
      </c>
    </row>
    <row r="271" spans="1:3">
      <c r="A271" s="28" t="s">
        <v>86</v>
      </c>
      <c r="B271" s="28">
        <f>(4*(Properties!J$3)*('Storage Tank'!B255))/(3.1416*('Storage Tank'!B$21)*(Properties!J$4))</f>
        <v>507.76305147920687</v>
      </c>
      <c r="C271" s="28"/>
    </row>
    <row r="272" spans="1:3">
      <c r="A272" s="28" t="s">
        <v>87</v>
      </c>
      <c r="B272" s="28">
        <f>(4*(Properties!J$3)*('Storage Tank'!B256))/(3.1416*('Storage Tank'!B$21)*(Properties!J$4))</f>
        <v>507.76305147920687</v>
      </c>
      <c r="C272" s="28"/>
    </row>
    <row r="273" spans="1:3">
      <c r="A273" s="28" t="s">
        <v>88</v>
      </c>
      <c r="B273" s="28">
        <f>(4*(Properties!J$3)*('Storage Tank'!B257))/(3.1416*('Storage Tank'!B$21)*(Properties!J$4))</f>
        <v>507.76305147920687</v>
      </c>
      <c r="C273" s="28"/>
    </row>
    <row r="274" spans="1:3">
      <c r="A274" s="28" t="s">
        <v>89</v>
      </c>
      <c r="B274" s="28">
        <f>(4*(Properties!J$3)*('Storage Tank'!B258))/(3.1416*('Storage Tank'!B$21)*(Properties!J$4))</f>
        <v>507.76305147920687</v>
      </c>
      <c r="C274" s="28"/>
    </row>
    <row r="275" spans="1:3">
      <c r="A275" s="28" t="s">
        <v>90</v>
      </c>
      <c r="B275" s="28">
        <f>(4*(Properties!J$3)*('Storage Tank'!B259))/(3.1416*('Storage Tank'!B$21)*(Properties!J$4))</f>
        <v>507.76305147920687</v>
      </c>
      <c r="C275" s="28"/>
    </row>
    <row r="276" spans="1:3">
      <c r="A276" s="28" t="s">
        <v>91</v>
      </c>
      <c r="B276" s="28">
        <f>(4*(Properties!J$3)*('Storage Tank'!B260))/(3.1416*('Storage Tank'!B$21)*(Properties!J$4))</f>
        <v>507.76305147920687</v>
      </c>
      <c r="C276" s="28"/>
    </row>
    <row r="277" spans="1:3">
      <c r="A277" s="28" t="s">
        <v>92</v>
      </c>
      <c r="B277" s="28">
        <f>(4*(Properties!J$3)*('Storage Tank'!B261))/(3.1416*('Storage Tank'!B$21)*(Properties!J$4))</f>
        <v>507.76305147920687</v>
      </c>
      <c r="C277" s="28"/>
    </row>
    <row r="278" spans="1:3">
      <c r="A278" s="28" t="s">
        <v>93</v>
      </c>
      <c r="B278" s="28">
        <f>(4*(Properties!J$3)*('Storage Tank'!B262))/(3.1416*('Storage Tank'!B$21)*(Properties!J$4))</f>
        <v>507.76305147920687</v>
      </c>
      <c r="C278" s="28"/>
    </row>
    <row r="279" spans="1:3">
      <c r="A279" s="28" t="s">
        <v>94</v>
      </c>
      <c r="B279" s="28">
        <f>(4*(Properties!J$3)*('Storage Tank'!B263))/(3.1416*('Storage Tank'!B$21)*(Properties!J$4))</f>
        <v>507.76305147920687</v>
      </c>
      <c r="C279" s="28"/>
    </row>
    <row r="280" spans="1:3">
      <c r="A280" s="28" t="s">
        <v>95</v>
      </c>
      <c r="B280" s="28">
        <f>(4*(Properties!J$3)*('Storage Tank'!B264))/(3.1416*('Storage Tank'!B$21)*(Properties!J$4))</f>
        <v>507.76305147920687</v>
      </c>
      <c r="C280" s="28"/>
    </row>
    <row r="281" spans="1:3">
      <c r="A281" s="28" t="s">
        <v>96</v>
      </c>
      <c r="B281" s="28">
        <f>(4*(Properties!J$3)*('Storage Tank'!B265))/(3.1416*('Storage Tank'!B$21)*(Properties!J$4))</f>
        <v>507.76305147920687</v>
      </c>
      <c r="C281" s="28"/>
    </row>
    <row r="282" spans="1:3">
      <c r="A282" s="28" t="s">
        <v>97</v>
      </c>
      <c r="B282" s="28">
        <f>(4*(Properties!J$3)*('Storage Tank'!B266))/(3.1416*('Storage Tank'!B$21)*(Properties!J$4))</f>
        <v>507.76305147920687</v>
      </c>
      <c r="C282" s="28"/>
    </row>
    <row r="283" spans="1:3">
      <c r="A283" s="28" t="s">
        <v>98</v>
      </c>
      <c r="B283" s="28">
        <f>(4*(Properties!J$3)*('Storage Tank'!B267))/(3.1416*('Storage Tank'!B$21)*(Properties!J$4))</f>
        <v>507.76305147920687</v>
      </c>
      <c r="C283" s="28"/>
    </row>
    <row r="284" spans="1:3">
      <c r="A284" s="28" t="s">
        <v>99</v>
      </c>
      <c r="B284" s="28">
        <f>(4*(Properties!J$3)*('Storage Tank'!B268))/(3.1416*('Storage Tank'!B$21)*(Properties!J$4))</f>
        <v>507.76305147920687</v>
      </c>
      <c r="C284" s="28"/>
    </row>
    <row r="285" spans="1:3">
      <c r="A285" s="28" t="s">
        <v>100</v>
      </c>
      <c r="B285" s="28">
        <f>(4*(Properties!J$3)*('Storage Tank'!B269))/(3.1416*('Storage Tank'!B$21)*(Properties!J$4))</f>
        <v>507.76305147920687</v>
      </c>
      <c r="C285" s="28"/>
    </row>
    <row r="286" spans="1:3">
      <c r="A286" s="28" t="s">
        <v>117</v>
      </c>
      <c r="B286" s="28">
        <f>(4*(Properties!J$3)*('Storage Tank'!B270))/(3.1416*('Storage Tank'!B$21)*(Properties!J$4))</f>
        <v>507.76305147920687</v>
      </c>
      <c r="C286" s="28"/>
    </row>
    <row r="287" spans="1:3">
      <c r="A287" s="28" t="s">
        <v>118</v>
      </c>
      <c r="B287" s="28">
        <f>IF(B271&gt;2300,(-2*(LOG((0.0000015/(3.7065*('Storage Tank'!B$21)))-((5.0452/'Storage Tank'!B271)*(LOG((1/2.8257)*((0.0000015/'Storage Tank'!B$21)^1.1098)+(5.8506/((('Storage Tank'!B271)^0.8981)))))))))^-2,64/B271)</f>
        <v>0.12604304274120826</v>
      </c>
      <c r="C287" s="28"/>
    </row>
    <row r="288" spans="1:3">
      <c r="A288" s="28" t="s">
        <v>119</v>
      </c>
      <c r="B288" s="28">
        <f>IF(B272&gt;2300,(-2*(LOG((0.0000015/(3.7065*('Storage Tank'!B$21)))-((5.0452/'Storage Tank'!B272)*(LOG((1/2.8257)*((0.0000015/'Storage Tank'!B$21)^1.1098)+(5.8506/((('Storage Tank'!B272)^0.8981)))))))))^-2,64/B272)</f>
        <v>0.12604304274120826</v>
      </c>
      <c r="C288" s="28"/>
    </row>
    <row r="289" spans="1:3">
      <c r="A289" s="28" t="s">
        <v>120</v>
      </c>
      <c r="B289" s="28">
        <f>IF(B273&gt;2300,(-2*(LOG((0.0000015/(3.7065*('Storage Tank'!B$21)))-((5.0452/'Storage Tank'!B273)*(LOG((1/2.8257)*((0.0000015/'Storage Tank'!B$21)^1.1098)+(5.8506/((('Storage Tank'!B273)^0.8981)))))))))^-2,64/B273)</f>
        <v>0.12604304274120826</v>
      </c>
      <c r="C289" s="28"/>
    </row>
    <row r="290" spans="1:3">
      <c r="A290" s="28" t="s">
        <v>121</v>
      </c>
      <c r="B290" s="28">
        <f>IF(B274&gt;2300,(-2*(LOG((0.0000015/(3.7065*('Storage Tank'!B$21)))-((5.0452/'Storage Tank'!B274)*(LOG((1/2.8257)*((0.0000015/'Storage Tank'!B$21)^1.1098)+(5.8506/((('Storage Tank'!B274)^0.8981)))))))))^-2,64/B274)</f>
        <v>0.12604304274120826</v>
      </c>
      <c r="C290" s="28"/>
    </row>
    <row r="291" spans="1:3">
      <c r="A291" s="28" t="s">
        <v>122</v>
      </c>
      <c r="B291" s="28">
        <f>IF(B275&gt;2300,(-2*(LOG((0.0000015/(3.7065*('Storage Tank'!B$21)))-((5.0452/'Storage Tank'!B275)*(LOG((1/2.8257)*((0.0000015/'Storage Tank'!B$21)^1.1098)+(5.8506/((('Storage Tank'!B275)^0.8981)))))))))^-2,64/B275)</f>
        <v>0.12604304274120826</v>
      </c>
      <c r="C291" s="28"/>
    </row>
    <row r="292" spans="1:3">
      <c r="A292" s="28" t="s">
        <v>123</v>
      </c>
      <c r="B292" s="28">
        <f>IF(B276&gt;2300,(-2*(LOG((0.0000015/(3.7065*('Storage Tank'!B$21)))-((5.0452/'Storage Tank'!B276)*(LOG((1/2.8257)*((0.0000015/'Storage Tank'!B$21)^1.1098)+(5.8506/((('Storage Tank'!B276)^0.8981)))))))))^-2,64/B276)</f>
        <v>0.12604304274120826</v>
      </c>
      <c r="C292" s="28"/>
    </row>
    <row r="293" spans="1:3">
      <c r="A293" s="28" t="s">
        <v>124</v>
      </c>
      <c r="B293" s="28">
        <f>IF(B277&gt;2300,(-2*(LOG((0.0000015/(3.7065*('Storage Tank'!B$21)))-((5.0452/'Storage Tank'!B277)*(LOG((1/2.8257)*((0.0000015/'Storage Tank'!B$21)^1.1098)+(5.8506/((('Storage Tank'!B277)^0.8981)))))))))^-2,64/B277)</f>
        <v>0.12604304274120826</v>
      </c>
      <c r="C293" s="28"/>
    </row>
    <row r="294" spans="1:3">
      <c r="A294" s="28" t="s">
        <v>125</v>
      </c>
      <c r="B294" s="28">
        <f>IF(B278&gt;2300,(-2*(LOG((0.0000015/(3.7065*('Storage Tank'!B$21)))-((5.0452/'Storage Tank'!B278)*(LOG((1/2.8257)*((0.0000015/'Storage Tank'!B$21)^1.1098)+(5.8506/((('Storage Tank'!B278)^0.8981)))))))))^-2,64/B278)</f>
        <v>0.12604304274120826</v>
      </c>
      <c r="C294" s="28"/>
    </row>
    <row r="295" spans="1:3">
      <c r="A295" s="28" t="s">
        <v>126</v>
      </c>
      <c r="B295" s="28">
        <f>IF(B279&gt;2300,(-2*(LOG((0.0000015/(3.7065*('Storage Tank'!B$21)))-((5.0452/'Storage Tank'!B279)*(LOG((1/2.8257)*((0.0000015/'Storage Tank'!B$21)^1.1098)+(5.8506/((('Storage Tank'!B279)^0.8981)))))))))^-2,64/B279)</f>
        <v>0.12604304274120826</v>
      </c>
      <c r="C295" s="28"/>
    </row>
    <row r="296" spans="1:3">
      <c r="A296" s="28" t="s">
        <v>127</v>
      </c>
      <c r="B296" s="28">
        <f>IF(B280&gt;2300,(-2*(LOG((0.0000015/(3.7065*('Storage Tank'!B$21)))-((5.0452/'Storage Tank'!B280)*(LOG((1/2.8257)*((0.0000015/'Storage Tank'!B$21)^1.1098)+(5.8506/((('Storage Tank'!B280)^0.8981)))))))))^-2,64/B280)</f>
        <v>0.12604304274120826</v>
      </c>
      <c r="C296" s="28"/>
    </row>
    <row r="297" spans="1:3">
      <c r="A297" s="28" t="s">
        <v>128</v>
      </c>
      <c r="B297" s="28">
        <f>IF(B281&gt;2300,(-2*(LOG((0.0000015/(3.7065*('Storage Tank'!B$21)))-((5.0452/'Storage Tank'!B281)*(LOG((1/2.8257)*((0.0000015/'Storage Tank'!B$21)^1.1098)+(5.8506/((('Storage Tank'!B281)^0.8981)))))))))^-2,64/B281)</f>
        <v>0.12604304274120826</v>
      </c>
      <c r="C297" s="28"/>
    </row>
    <row r="298" spans="1:3">
      <c r="A298" s="28" t="s">
        <v>129</v>
      </c>
      <c r="B298" s="28">
        <f>IF(B282&gt;2300,(-2*(LOG((0.0000015/(3.7065*('Storage Tank'!B$21)))-((5.0452/'Storage Tank'!B282)*(LOG((1/2.8257)*((0.0000015/'Storage Tank'!B$21)^1.1098)+(5.8506/((('Storage Tank'!B282)^0.8981)))))))))^-2,64/B282)</f>
        <v>0.12604304274120826</v>
      </c>
      <c r="C298" s="28"/>
    </row>
    <row r="299" spans="1:3">
      <c r="A299" s="28" t="s">
        <v>130</v>
      </c>
      <c r="B299" s="28">
        <f>IF(B283&gt;2300,(-2*(LOG((0.0000015/(3.7065*('Storage Tank'!B$21)))-((5.0452/'Storage Tank'!B283)*(LOG((1/2.8257)*((0.0000015/'Storage Tank'!B$21)^1.1098)+(5.8506/((('Storage Tank'!B283)^0.8981)))))))))^-2,64/B283)</f>
        <v>0.12604304274120826</v>
      </c>
      <c r="C299" s="28"/>
    </row>
    <row r="300" spans="1:3">
      <c r="A300" s="28" t="s">
        <v>131</v>
      </c>
      <c r="B300" s="28">
        <f>IF(B284&gt;2300,(-2*(LOG((0.0000015/(3.7065*('Storage Tank'!B$21)))-((5.0452/'Storage Tank'!B284)*(LOG((1/2.8257)*((0.0000015/'Storage Tank'!B$21)^1.1098)+(5.8506/((('Storage Tank'!B284)^0.8981)))))))))^-2,64/B284)</f>
        <v>0.12604304274120826</v>
      </c>
      <c r="C300" s="28"/>
    </row>
    <row r="301" spans="1:3">
      <c r="A301" s="28" t="s">
        <v>132</v>
      </c>
      <c r="B301" s="28">
        <f>IF(B285&gt;2300,(-2*(LOG((0.0000015/(3.7065*('Storage Tank'!B$21)))-((5.0452/'Storage Tank'!B285)*(LOG((1/2.8257)*((0.0000015/'Storage Tank'!B$21)^1.1098)+(5.8506/((('Storage Tank'!B285)^0.8981)))))))))^-2,64/B285)</f>
        <v>0.12604304274120826</v>
      </c>
      <c r="C301" s="28"/>
    </row>
    <row r="302" spans="1:3">
      <c r="A302" s="28" t="s">
        <v>135</v>
      </c>
      <c r="B302" s="28">
        <f>IF(B286&gt;2300,(-2*(LOG((0.0000015/(3.7065*('Storage Tank'!B$21)))-((5.0452/'Storage Tank'!B286)*(LOG((1/2.8257)*((0.0000015/'Storage Tank'!B$21)^1.1098)+(5.8506/((('Storage Tank'!B286)^0.8981)))))))))^-2,64/B286)</f>
        <v>0.12604304274120826</v>
      </c>
      <c r="C302" s="28"/>
    </row>
    <row r="303" spans="1:3">
      <c r="A303" s="28" t="s">
        <v>136</v>
      </c>
      <c r="B303" s="28">
        <f>((B287*B$22)/(B$21))*(Properties!J$3*(('Storage Tank'!B239)^2)/2)</f>
        <v>6268.0166739004635</v>
      </c>
      <c r="C303" s="28" t="s">
        <v>151</v>
      </c>
    </row>
    <row r="304" spans="1:3">
      <c r="A304" s="28" t="s">
        <v>137</v>
      </c>
      <c r="B304" s="28">
        <f>((B288*B$22)/(B$21))*(Properties!J$3*(('Storage Tank'!B240)^2)/2)</f>
        <v>6268.0166739004635</v>
      </c>
      <c r="C304" s="28" t="s">
        <v>151</v>
      </c>
    </row>
    <row r="305" spans="1:3">
      <c r="A305" s="28" t="s">
        <v>138</v>
      </c>
      <c r="B305" s="28">
        <f>((B289*B$22)/(B$21))*(Properties!J$3*(('Storage Tank'!B241)^2)/2)</f>
        <v>6268.0166739004635</v>
      </c>
      <c r="C305" s="28" t="s">
        <v>151</v>
      </c>
    </row>
    <row r="306" spans="1:3">
      <c r="A306" s="28" t="s">
        <v>139</v>
      </c>
      <c r="B306" s="28">
        <f>((B290*B$22)/(B$21))*(Properties!J$3*(('Storage Tank'!B242)^2)/2)</f>
        <v>6268.0166739004635</v>
      </c>
      <c r="C306" s="28" t="s">
        <v>151</v>
      </c>
    </row>
    <row r="307" spans="1:3">
      <c r="A307" s="28" t="s">
        <v>140</v>
      </c>
      <c r="B307" s="28">
        <f>((B291*B$22)/(B$21))*(Properties!J$3*(('Storage Tank'!B243)^2)/2)</f>
        <v>6268.0166739004635</v>
      </c>
      <c r="C307" s="28" t="s">
        <v>151</v>
      </c>
    </row>
    <row r="308" spans="1:3">
      <c r="A308" s="28" t="s">
        <v>141</v>
      </c>
      <c r="B308" s="28">
        <f>((B292*B$22)/(B$21))*(Properties!J$3*(('Storage Tank'!B244)^2)/2)</f>
        <v>6268.0166739004635</v>
      </c>
      <c r="C308" s="28" t="s">
        <v>151</v>
      </c>
    </row>
    <row r="309" spans="1:3">
      <c r="A309" s="28" t="s">
        <v>142</v>
      </c>
      <c r="B309" s="28">
        <f>((B293*B$22)/(B$21))*(Properties!J$3*(('Storage Tank'!B245)^2)/2)</f>
        <v>6268.0166739004635</v>
      </c>
      <c r="C309" s="28" t="s">
        <v>151</v>
      </c>
    </row>
    <row r="310" spans="1:3">
      <c r="A310" s="28" t="s">
        <v>143</v>
      </c>
      <c r="B310" s="28">
        <f>((B294*B$22)/(B$21))*(Properties!J$3*(('Storage Tank'!B246)^2)/2)</f>
        <v>6268.0166739004635</v>
      </c>
      <c r="C310" s="28" t="s">
        <v>151</v>
      </c>
    </row>
    <row r="311" spans="1:3">
      <c r="A311" s="28" t="s">
        <v>144</v>
      </c>
      <c r="B311" s="28">
        <f>((B295*B$22)/(B$21))*(Properties!J$3*(('Storage Tank'!B247)^2)/2)</f>
        <v>6268.0166739004635</v>
      </c>
      <c r="C311" s="28" t="s">
        <v>151</v>
      </c>
    </row>
    <row r="312" spans="1:3">
      <c r="A312" s="28" t="s">
        <v>145</v>
      </c>
      <c r="B312" s="28">
        <f>((B296*B$22)/(B$21))*(Properties!J$3*(('Storage Tank'!B248)^2)/2)</f>
        <v>6268.0166739004635</v>
      </c>
      <c r="C312" s="28" t="s">
        <v>151</v>
      </c>
    </row>
    <row r="313" spans="1:3">
      <c r="A313" s="28" t="s">
        <v>146</v>
      </c>
      <c r="B313" s="28">
        <f>((B297*B$22)/(B$21))*(Properties!J$3*(('Storage Tank'!B249)^2)/2)</f>
        <v>6268.0166739004635</v>
      </c>
      <c r="C313" s="28" t="s">
        <v>151</v>
      </c>
    </row>
    <row r="314" spans="1:3">
      <c r="A314" s="28" t="s">
        <v>147</v>
      </c>
      <c r="B314" s="28">
        <f>((B298*B$22)/(B$21))*(Properties!J$3*(('Storage Tank'!B250)^2)/2)</f>
        <v>6268.0166739004635</v>
      </c>
      <c r="C314" s="28" t="s">
        <v>151</v>
      </c>
    </row>
    <row r="315" spans="1:3">
      <c r="A315" s="28" t="s">
        <v>148</v>
      </c>
      <c r="B315" s="28">
        <f>((B299*B$22)/(B$21))*(Properties!J$3*(('Storage Tank'!B251)^2)/2)</f>
        <v>6268.0166739004635</v>
      </c>
      <c r="C315" s="28" t="s">
        <v>151</v>
      </c>
    </row>
    <row r="316" spans="1:3">
      <c r="A316" s="28" t="s">
        <v>149</v>
      </c>
      <c r="B316" s="28">
        <f>((B300*B$22)/(B$21))*(Properties!J$3*(('Storage Tank'!B252)^2)/2)</f>
        <v>6268.0166739004635</v>
      </c>
      <c r="C316" s="28" t="s">
        <v>151</v>
      </c>
    </row>
    <row r="317" spans="1:3">
      <c r="A317" s="28" t="s">
        <v>150</v>
      </c>
      <c r="B317" s="28">
        <f>((B301*B$22)/(B$21))*(Properties!J$3*(('Storage Tank'!B253)^2)/2)</f>
        <v>6268.0166739004635</v>
      </c>
      <c r="C317" s="28" t="s">
        <v>151</v>
      </c>
    </row>
    <row r="318" spans="1:3">
      <c r="A318" s="28" t="s">
        <v>152</v>
      </c>
      <c r="B318" s="28">
        <f>((B302*B$22)/(B$21))*(Properties!J$3*(('Storage Tank'!B254)^2)/2)</f>
        <v>6268.0166739004635</v>
      </c>
      <c r="C318" s="28" t="s">
        <v>151</v>
      </c>
    </row>
    <row r="319" spans="1:3">
      <c r="A319" s="28" t="s">
        <v>153</v>
      </c>
      <c r="B319" s="28">
        <f>B303+B304+B305+B306+B307+B308+B309+B310-B311-B312-B313-B314-B315-B316-B317-B318</f>
        <v>0</v>
      </c>
      <c r="C319" s="29" t="s">
        <v>151</v>
      </c>
    </row>
    <row r="320" spans="1:3">
      <c r="A320" s="28" t="s">
        <v>154</v>
      </c>
      <c r="B320" s="28">
        <f>B32-B255-B256-B257-B258-B259-B260-B261-B262-B263-B264-B265-B266-B267-B268-B269-B270</f>
        <v>2.9452500000000026E-3</v>
      </c>
      <c r="C320" s="29" t="s">
        <v>29</v>
      </c>
    </row>
    <row r="321" spans="1:3">
      <c r="A321" s="28" t="s">
        <v>155</v>
      </c>
      <c r="B321" s="28">
        <f>(Properties!J$3)*'Storage Tank'!B255</f>
        <v>0.20414264062500007</v>
      </c>
      <c r="C321" s="28" t="s">
        <v>28</v>
      </c>
    </row>
    <row r="322" spans="1:3">
      <c r="A322" s="28" t="s">
        <v>156</v>
      </c>
      <c r="B322" s="28">
        <f>(Properties!J$3)*'Storage Tank'!B256</f>
        <v>0.20414264062500007</v>
      </c>
      <c r="C322" s="28" t="s">
        <v>28</v>
      </c>
    </row>
    <row r="323" spans="1:3">
      <c r="A323" s="28" t="s">
        <v>157</v>
      </c>
      <c r="B323" s="28">
        <f>(Properties!J$3)*'Storage Tank'!B257</f>
        <v>0.20414264062500007</v>
      </c>
      <c r="C323" s="28" t="s">
        <v>28</v>
      </c>
    </row>
    <row r="324" spans="1:3">
      <c r="A324" s="28" t="s">
        <v>158</v>
      </c>
      <c r="B324" s="28">
        <f>(Properties!J$3)*'Storage Tank'!B258</f>
        <v>0.20414264062500007</v>
      </c>
      <c r="C324" s="28" t="s">
        <v>28</v>
      </c>
    </row>
    <row r="325" spans="1:3">
      <c r="A325" s="28" t="s">
        <v>159</v>
      </c>
      <c r="B325" s="28">
        <f>(Properties!J$3)*'Storage Tank'!B259</f>
        <v>0.20414264062500007</v>
      </c>
      <c r="C325" s="28" t="s">
        <v>28</v>
      </c>
    </row>
    <row r="326" spans="1:3">
      <c r="A326" s="28" t="s">
        <v>160</v>
      </c>
      <c r="B326" s="28">
        <f>(Properties!J$3)*'Storage Tank'!B260</f>
        <v>0.20414264062500007</v>
      </c>
      <c r="C326" s="28" t="s">
        <v>28</v>
      </c>
    </row>
    <row r="327" spans="1:3">
      <c r="A327" s="28" t="s">
        <v>161</v>
      </c>
      <c r="B327" s="28">
        <f>(Properties!J$3)*'Storage Tank'!B261</f>
        <v>0.20414264062500007</v>
      </c>
      <c r="C327" s="28" t="s">
        <v>28</v>
      </c>
    </row>
    <row r="328" spans="1:3">
      <c r="A328" s="28" t="s">
        <v>162</v>
      </c>
      <c r="B328" s="28">
        <f>(Properties!J$3)*'Storage Tank'!B262</f>
        <v>0.20414264062500007</v>
      </c>
      <c r="C328" s="28" t="s">
        <v>28</v>
      </c>
    </row>
    <row r="329" spans="1:3">
      <c r="A329" s="28" t="s">
        <v>163</v>
      </c>
      <c r="B329" s="28">
        <f>(Properties!J$3)*'Storage Tank'!B263</f>
        <v>0.20414264062500007</v>
      </c>
      <c r="C329" s="28" t="s">
        <v>28</v>
      </c>
    </row>
    <row r="330" spans="1:3">
      <c r="A330" s="28" t="s">
        <v>164</v>
      </c>
      <c r="B330" s="28">
        <f>(Properties!J$3)*'Storage Tank'!B264</f>
        <v>0.20414264062500007</v>
      </c>
      <c r="C330" s="28" t="s">
        <v>28</v>
      </c>
    </row>
    <row r="331" spans="1:3">
      <c r="A331" s="28" t="s">
        <v>165</v>
      </c>
      <c r="B331" s="28">
        <f>(Properties!J$3)*'Storage Tank'!B265</f>
        <v>0.20414264062500007</v>
      </c>
      <c r="C331" s="28" t="s">
        <v>28</v>
      </c>
    </row>
    <row r="332" spans="1:3">
      <c r="A332" s="28" t="s">
        <v>166</v>
      </c>
      <c r="B332" s="28">
        <f>(Properties!J$3)*'Storage Tank'!B266</f>
        <v>0.20414264062500007</v>
      </c>
      <c r="C332" s="28" t="s">
        <v>28</v>
      </c>
    </row>
    <row r="333" spans="1:3">
      <c r="A333" s="28" t="s">
        <v>167</v>
      </c>
      <c r="B333" s="28">
        <f>(Properties!J$3)*'Storage Tank'!B267</f>
        <v>0.20414264062500007</v>
      </c>
      <c r="C333" s="28" t="s">
        <v>28</v>
      </c>
    </row>
    <row r="334" spans="1:3">
      <c r="A334" s="28" t="s">
        <v>168</v>
      </c>
      <c r="B334" s="28">
        <f>(Properties!J$3)*'Storage Tank'!B268</f>
        <v>0.20414264062500007</v>
      </c>
      <c r="C334" s="28" t="s">
        <v>28</v>
      </c>
    </row>
    <row r="335" spans="1:3">
      <c r="A335" s="28" t="s">
        <v>169</v>
      </c>
      <c r="B335" s="28">
        <f>(Properties!J$3)*'Storage Tank'!B269</f>
        <v>0.20414264062500007</v>
      </c>
      <c r="C335" s="28" t="s">
        <v>28</v>
      </c>
    </row>
    <row r="336" spans="1:3">
      <c r="B336" s="28">
        <f>(Properties!J$3)*'Storage Tank'!B270</f>
        <v>0.20414264062500007</v>
      </c>
      <c r="C336" s="28" t="s">
        <v>28</v>
      </c>
    </row>
  </sheetData>
  <conditionalFormatting sqref="C38">
    <cfRule type="endsWith" dxfId="8" priority="8" operator="endsWith" text="incorrect">
      <formula>RIGHT(C38,9)="incorrect"</formula>
    </cfRule>
    <cfRule type="containsText" dxfId="7" priority="9" operator="containsText" text="ra number is correct">
      <formula>NOT(ISERROR(SEARCH("ra number is correct",C38)))</formula>
    </cfRule>
    <cfRule type="containsText" dxfId="6" priority="10" operator="containsText" text="Ra">
      <formula>NOT(ISERROR(SEARCH("Ra",C38)))</formula>
    </cfRule>
    <cfRule type="colorScale" priority="11">
      <colorScale>
        <cfvo type="min"/>
        <cfvo type="max"/>
        <color rgb="FFFF7128"/>
        <color rgb="FFFFEF9C"/>
      </colorScale>
    </cfRule>
  </conditionalFormatting>
  <conditionalFormatting sqref="C43">
    <cfRule type="containsText" dxfId="5" priority="5" operator="containsText" text="Ra number is correct">
      <formula>NOT(ISERROR(SEARCH("Ra number is correct",C43)))</formula>
    </cfRule>
    <cfRule type="containsText" dxfId="4" priority="7" operator="containsText" text="Ra number is incorrect">
      <formula>NOT(ISERROR(SEARCH("Ra number is incorrect",C43)))</formula>
    </cfRule>
  </conditionalFormatting>
  <conditionalFormatting sqref="B20">
    <cfRule type="containsText" priority="2" operator="containsText" text="Ra number is incorrect">
      <formula>NOT(ISERROR(SEARCH("Ra number is incorrect",B20)))</formula>
    </cfRule>
    <cfRule type="containsText" dxfId="3" priority="3" operator="containsText" text="Ra number is incorrect">
      <formula>NOT(ISERROR(SEARCH("Ra number is incorrect",B20)))</formula>
    </cfRule>
    <cfRule type="containsText" dxfId="2" priority="6" operator="containsText" text="Ra number is correct">
      <formula>NOT(ISERROR(SEARCH("Ra number is correct",B20)))</formula>
    </cfRule>
  </conditionalFormatting>
  <conditionalFormatting sqref="C48">
    <cfRule type="containsText" dxfId="1" priority="1" operator="containsText" text="Ra number is incorrect">
      <formula>NOT(ISERROR(SEARCH("Ra number is incorrect",C48)))</formula>
    </cfRule>
    <cfRule type="containsText" dxfId="0" priority="4" operator="containsText" text="Ra number is correct">
      <formula>NOT(ISERROR(SEARCH("Ra number is correct",C48)))</formula>
    </cfRule>
  </conditionalFormatting>
  <pageMargins left="0.7" right="0.7" top="0.75" bottom="0.75" header="0.3" footer="0.3"/>
  <ignoredErrors>
    <ignoredError sqref="B9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P18"/>
  <sheetViews>
    <sheetView topLeftCell="F1" workbookViewId="0">
      <selection activeCell="M8" sqref="M8"/>
    </sheetView>
  </sheetViews>
  <sheetFormatPr baseColWidth="10" defaultColWidth="11.5" defaultRowHeight="14" x14ac:dyDescent="0"/>
  <cols>
    <col min="1" max="1" width="26.5" bestFit="1" customWidth="1"/>
    <col min="5" max="5" width="35.83203125" customWidth="1"/>
    <col min="9" max="9" width="19.83203125" customWidth="1"/>
    <col min="13" max="13" width="19.5" customWidth="1"/>
  </cols>
  <sheetData>
    <row r="1" spans="1:16">
      <c r="A1" s="12" t="s">
        <v>40</v>
      </c>
      <c r="E1" s="13" t="s">
        <v>41</v>
      </c>
      <c r="I1" s="12" t="s">
        <v>42</v>
      </c>
      <c r="M1" s="51" t="s">
        <v>290</v>
      </c>
    </row>
    <row r="2" spans="1:16">
      <c r="A2" s="1" t="s">
        <v>8</v>
      </c>
      <c r="B2">
        <v>333.7</v>
      </c>
      <c r="C2" t="s">
        <v>14</v>
      </c>
      <c r="E2" s="1" t="s">
        <v>12</v>
      </c>
      <c r="F2">
        <v>4.2</v>
      </c>
      <c r="G2" t="s">
        <v>13</v>
      </c>
      <c r="I2" t="s">
        <v>7</v>
      </c>
      <c r="J2">
        <v>2294</v>
      </c>
      <c r="K2" t="s">
        <v>249</v>
      </c>
      <c r="M2" s="49" t="s">
        <v>291</v>
      </c>
      <c r="N2" s="49">
        <v>1.204</v>
      </c>
      <c r="O2" s="49" t="s">
        <v>27</v>
      </c>
      <c r="P2" s="49" t="s">
        <v>298</v>
      </c>
    </row>
    <row r="3" spans="1:16" ht="28">
      <c r="A3" t="s">
        <v>10</v>
      </c>
      <c r="B3">
        <v>917</v>
      </c>
      <c r="C3" t="s">
        <v>15</v>
      </c>
      <c r="E3" s="16" t="s">
        <v>57</v>
      </c>
      <c r="F3">
        <v>9.4499999999999993</v>
      </c>
      <c r="I3" s="1" t="s">
        <v>26</v>
      </c>
      <c r="J3">
        <v>1109</v>
      </c>
      <c r="K3" t="s">
        <v>27</v>
      </c>
      <c r="M3" s="49" t="s">
        <v>292</v>
      </c>
      <c r="N3" s="49">
        <v>0.73089999999999999</v>
      </c>
      <c r="O3" s="49"/>
    </row>
    <row r="4" spans="1:16">
      <c r="A4" t="s">
        <v>37</v>
      </c>
      <c r="B4">
        <v>13.5</v>
      </c>
      <c r="E4" s="16" t="s">
        <v>58</v>
      </c>
      <c r="F4">
        <f>0.733*10^-3</f>
        <v>7.3300000000000004E-4</v>
      </c>
      <c r="G4" t="s">
        <v>44</v>
      </c>
      <c r="I4" t="s">
        <v>133</v>
      </c>
      <c r="J4">
        <v>2.1329000000000001E-2</v>
      </c>
      <c r="K4" t="s">
        <v>134</v>
      </c>
      <c r="M4" s="49" t="s">
        <v>293</v>
      </c>
      <c r="N4" s="49">
        <f>1.516*10^-5</f>
        <v>1.5160000000000001E-5</v>
      </c>
      <c r="O4" s="49" t="s">
        <v>294</v>
      </c>
    </row>
    <row r="5" spans="1:16">
      <c r="A5" s="1" t="s">
        <v>38</v>
      </c>
      <c r="B5">
        <f>-0.068*10^-3</f>
        <v>-6.8000000000000013E-5</v>
      </c>
      <c r="C5" t="s">
        <v>44</v>
      </c>
      <c r="E5" s="15" t="s">
        <v>56</v>
      </c>
      <c r="F5">
        <f>1.307*10^-3</f>
        <v>1.307E-3</v>
      </c>
      <c r="G5" t="s">
        <v>45</v>
      </c>
      <c r="I5" t="s">
        <v>199</v>
      </c>
      <c r="J5">
        <f>615</f>
        <v>615</v>
      </c>
      <c r="M5" s="49" t="s">
        <v>203</v>
      </c>
      <c r="N5" s="49">
        <v>2.5139999999999999E-2</v>
      </c>
      <c r="O5" s="49" t="s">
        <v>295</v>
      </c>
    </row>
    <row r="6" spans="1:16">
      <c r="A6" t="s">
        <v>39</v>
      </c>
      <c r="B6">
        <f>1.792*10^-3</f>
        <v>1.792E-3</v>
      </c>
      <c r="C6" t="s">
        <v>45</v>
      </c>
      <c r="E6" s="16" t="s">
        <v>59</v>
      </c>
      <c r="F6">
        <v>0.57999999999999996</v>
      </c>
      <c r="G6" t="s">
        <v>46</v>
      </c>
      <c r="I6" t="s">
        <v>203</v>
      </c>
      <c r="J6">
        <v>0.24199999999999999</v>
      </c>
      <c r="K6" t="s">
        <v>46</v>
      </c>
      <c r="M6" s="49" t="s">
        <v>296</v>
      </c>
      <c r="N6" s="49">
        <v>1007</v>
      </c>
      <c r="O6" s="49" t="s">
        <v>297</v>
      </c>
    </row>
    <row r="7" spans="1:16">
      <c r="A7" s="1" t="s">
        <v>43</v>
      </c>
      <c r="B7">
        <v>0.56100000000000005</v>
      </c>
      <c r="C7" t="s">
        <v>46</v>
      </c>
      <c r="E7" s="17" t="s">
        <v>60</v>
      </c>
      <c r="F7">
        <v>8.09</v>
      </c>
    </row>
    <row r="8" spans="1:16">
      <c r="E8" s="16" t="s">
        <v>62</v>
      </c>
      <c r="F8">
        <f>0.138*10^-3</f>
        <v>1.3800000000000002E-4</v>
      </c>
      <c r="G8" t="s">
        <v>44</v>
      </c>
    </row>
    <row r="9" spans="1:16">
      <c r="E9" t="s">
        <v>61</v>
      </c>
      <c r="F9">
        <f>1.138*10^-3</f>
        <v>1.1379999999999999E-3</v>
      </c>
      <c r="G9" t="s">
        <v>45</v>
      </c>
    </row>
    <row r="10" spans="1:16">
      <c r="E10" s="16" t="s">
        <v>63</v>
      </c>
      <c r="F10">
        <v>0.58899999999999997</v>
      </c>
      <c r="G10" t="s">
        <v>46</v>
      </c>
    </row>
    <row r="11" spans="1:16">
      <c r="A11" s="1"/>
      <c r="E11" s="16" t="s">
        <v>178</v>
      </c>
      <c r="F11" s="22">
        <v>11.2</v>
      </c>
    </row>
    <row r="12" spans="1:16">
      <c r="E12" s="16" t="s">
        <v>179</v>
      </c>
      <c r="F12" s="22">
        <v>1.5E-5</v>
      </c>
      <c r="G12" t="s">
        <v>44</v>
      </c>
    </row>
    <row r="13" spans="1:16">
      <c r="A13" s="1"/>
      <c r="E13" s="15" t="s">
        <v>180</v>
      </c>
      <c r="F13" s="22">
        <v>1.519E-3</v>
      </c>
      <c r="G13" t="s">
        <v>45</v>
      </c>
    </row>
    <row r="14" spans="1:16">
      <c r="A14" s="1"/>
      <c r="E14" s="16" t="s">
        <v>181</v>
      </c>
      <c r="F14" s="22">
        <v>0.57099999999999995</v>
      </c>
      <c r="G14" s="16" t="s">
        <v>46</v>
      </c>
    </row>
    <row r="15" spans="1:16">
      <c r="E15" s="16" t="s">
        <v>191</v>
      </c>
      <c r="F15" s="26">
        <v>13.5</v>
      </c>
    </row>
    <row r="16" spans="1:16">
      <c r="E16" s="16" t="s">
        <v>192</v>
      </c>
      <c r="F16" s="22">
        <v>-6.7999999999999999E-5</v>
      </c>
      <c r="G16" t="s">
        <v>44</v>
      </c>
    </row>
    <row r="17" spans="5:7">
      <c r="E17" s="15" t="s">
        <v>193</v>
      </c>
      <c r="F17" s="22">
        <v>1.792E-3</v>
      </c>
      <c r="G17" t="s">
        <v>45</v>
      </c>
    </row>
    <row r="18" spans="5:7">
      <c r="E18" s="16" t="s">
        <v>194</v>
      </c>
      <c r="F18" s="26">
        <v>0.56100000000000005</v>
      </c>
      <c r="G18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Storage Tank</vt:lpstr>
      <vt:lpstr>Properties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Juan Duran</cp:lastModifiedBy>
  <dcterms:created xsi:type="dcterms:W3CDTF">2012-04-10T21:00:52Z</dcterms:created>
  <dcterms:modified xsi:type="dcterms:W3CDTF">2012-09-21T00:51:25Z</dcterms:modified>
</cp:coreProperties>
</file>